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ex pays prod 2010"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033" i="1"/>
  <c r="B1033" i="1"/>
  <c r="A16" i="1"/>
  <c r="B16" i="1"/>
  <c r="A17" i="1"/>
  <c r="B17" i="1"/>
  <c r="A18" i="1"/>
  <c r="B18" i="1"/>
  <c r="A19" i="1"/>
  <c r="A20" i="1"/>
  <c r="A21" i="1"/>
  <c r="B21" i="1"/>
  <c r="A22" i="1"/>
  <c r="A23" i="1"/>
  <c r="B23" i="1"/>
  <c r="A24" i="1"/>
  <c r="B24" i="1"/>
  <c r="A25" i="1"/>
  <c r="A26" i="1"/>
  <c r="A27" i="1"/>
  <c r="A28" i="1"/>
  <c r="B28" i="1"/>
  <c r="A29" i="1"/>
  <c r="B29" i="1"/>
  <c r="A30" i="1"/>
  <c r="B30" i="1"/>
  <c r="A31" i="1"/>
  <c r="B31" i="1"/>
  <c r="A32" i="1"/>
  <c r="B32" i="1"/>
  <c r="A33" i="1"/>
  <c r="A34" i="1"/>
  <c r="B34" i="1"/>
  <c r="A35" i="1"/>
  <c r="B35" i="1"/>
  <c r="A36" i="1"/>
  <c r="B36" i="1"/>
  <c r="A37" i="1"/>
  <c r="B37" i="1"/>
  <c r="A38" i="1"/>
  <c r="B38" i="1"/>
  <c r="A39" i="1"/>
  <c r="B39" i="1"/>
  <c r="A40" i="1"/>
  <c r="A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A59" i="1"/>
  <c r="B59" i="1"/>
  <c r="A60" i="1"/>
  <c r="B60" i="1"/>
  <c r="A61" i="1"/>
  <c r="B61" i="1"/>
  <c r="A62" i="1"/>
  <c r="A63" i="1"/>
  <c r="B63" i="1"/>
  <c r="A64" i="1"/>
  <c r="A65" i="1"/>
  <c r="A66" i="1"/>
  <c r="B66" i="1"/>
  <c r="A67" i="1"/>
  <c r="B67" i="1"/>
  <c r="A68" i="1"/>
  <c r="B68" i="1"/>
  <c r="A69" i="1"/>
  <c r="A70" i="1"/>
  <c r="A71" i="1"/>
  <c r="B71" i="1"/>
  <c r="A72" i="1"/>
  <c r="B72" i="1"/>
  <c r="A73" i="1"/>
  <c r="B73" i="1"/>
  <c r="A74" i="1"/>
  <c r="B74" i="1"/>
  <c r="A75" i="1"/>
  <c r="B75" i="1"/>
  <c r="A76" i="1"/>
  <c r="B76" i="1"/>
  <c r="A77" i="1"/>
  <c r="B77" i="1"/>
  <c r="A78" i="1"/>
  <c r="B78" i="1"/>
  <c r="A79" i="1"/>
  <c r="B79" i="1"/>
  <c r="A80" i="1"/>
  <c r="A81" i="1"/>
  <c r="A82" i="1"/>
  <c r="B82" i="1"/>
  <c r="A83" i="1"/>
  <c r="A84" i="1"/>
  <c r="B84" i="1"/>
  <c r="A85" i="1"/>
  <c r="A86" i="1"/>
  <c r="B86" i="1"/>
  <c r="A87" i="1"/>
  <c r="B87" i="1"/>
  <c r="A88" i="1"/>
  <c r="B88" i="1"/>
  <c r="A89" i="1"/>
  <c r="B89" i="1"/>
  <c r="A90" i="1"/>
  <c r="B90" i="1"/>
  <c r="A91" i="1"/>
  <c r="B91" i="1"/>
  <c r="A92" i="1"/>
  <c r="B92" i="1"/>
  <c r="A93" i="1"/>
  <c r="A94" i="1"/>
  <c r="B94" i="1"/>
  <c r="A95" i="1"/>
  <c r="B95" i="1"/>
  <c r="A96" i="1"/>
  <c r="A97" i="1"/>
  <c r="B97" i="1"/>
  <c r="A98" i="1"/>
  <c r="B98" i="1"/>
  <c r="A99" i="1"/>
  <c r="B99" i="1"/>
  <c r="A100" i="1"/>
  <c r="B100" i="1"/>
  <c r="A101" i="1"/>
  <c r="B101" i="1"/>
  <c r="A102" i="1"/>
  <c r="B102" i="1"/>
  <c r="A103" i="1"/>
  <c r="B103" i="1"/>
  <c r="A104" i="1"/>
  <c r="B104" i="1"/>
  <c r="A105" i="1"/>
  <c r="A106" i="1"/>
  <c r="B106" i="1"/>
  <c r="A107" i="1"/>
  <c r="B107" i="1"/>
  <c r="A108" i="1"/>
  <c r="B108" i="1"/>
  <c r="A109" i="1"/>
  <c r="B109" i="1"/>
  <c r="A110" i="1"/>
  <c r="A111" i="1"/>
  <c r="A112" i="1"/>
  <c r="A113" i="1"/>
  <c r="B113" i="1"/>
  <c r="A114" i="1"/>
  <c r="B114" i="1"/>
  <c r="A115" i="1"/>
  <c r="B115" i="1"/>
  <c r="A116" i="1"/>
  <c r="B116" i="1"/>
  <c r="A117" i="1"/>
  <c r="B117" i="1"/>
  <c r="A118" i="1"/>
  <c r="B118" i="1"/>
  <c r="A119" i="1"/>
  <c r="B119" i="1"/>
  <c r="A120" i="1"/>
  <c r="B120" i="1"/>
  <c r="A121" i="1"/>
  <c r="B121" i="1"/>
  <c r="A122" i="1"/>
  <c r="B122" i="1"/>
  <c r="A123" i="1"/>
  <c r="A124" i="1"/>
  <c r="A125" i="1"/>
  <c r="B125" i="1"/>
  <c r="A126" i="1"/>
  <c r="B126" i="1"/>
  <c r="A127" i="1"/>
  <c r="B127" i="1"/>
  <c r="A128" i="1"/>
  <c r="B128" i="1"/>
  <c r="A129" i="1"/>
  <c r="B129" i="1"/>
  <c r="A130" i="1"/>
  <c r="A131" i="1"/>
  <c r="B131" i="1"/>
  <c r="A132" i="1"/>
  <c r="B132" i="1"/>
  <c r="A133" i="1"/>
  <c r="B133" i="1"/>
  <c r="A134" i="1"/>
  <c r="B134" i="1"/>
  <c r="A135" i="1"/>
  <c r="B135" i="1"/>
  <c r="A136" i="1"/>
  <c r="B136" i="1"/>
  <c r="A137" i="1"/>
  <c r="B137" i="1"/>
  <c r="A138" i="1"/>
  <c r="A139" i="1"/>
  <c r="B139" i="1"/>
  <c r="A140" i="1"/>
  <c r="A141" i="1"/>
  <c r="B141" i="1"/>
  <c r="A142" i="1"/>
  <c r="B142" i="1"/>
  <c r="A143" i="1"/>
  <c r="B143" i="1"/>
  <c r="A144" i="1"/>
  <c r="B144" i="1"/>
  <c r="A145" i="1"/>
  <c r="A146" i="1"/>
  <c r="B146" i="1"/>
  <c r="A147" i="1"/>
  <c r="A148" i="1"/>
  <c r="B148" i="1"/>
  <c r="A149" i="1"/>
  <c r="B149" i="1"/>
  <c r="A150" i="1"/>
  <c r="B150" i="1"/>
  <c r="A151" i="1"/>
  <c r="A152" i="1"/>
  <c r="B152" i="1"/>
  <c r="A153" i="1"/>
  <c r="B153" i="1"/>
  <c r="A154" i="1"/>
  <c r="B154" i="1"/>
  <c r="A155" i="1"/>
  <c r="A156" i="1"/>
  <c r="A157" i="1"/>
  <c r="B157" i="1"/>
  <c r="A158" i="1"/>
  <c r="B158" i="1"/>
  <c r="A159" i="1"/>
  <c r="B159" i="1"/>
  <c r="A160" i="1"/>
  <c r="B160" i="1"/>
  <c r="A161" i="1"/>
  <c r="A162" i="1"/>
  <c r="A163" i="1"/>
  <c r="B163" i="1"/>
  <c r="A164" i="1"/>
  <c r="B164" i="1"/>
  <c r="A165" i="1"/>
  <c r="A166" i="1"/>
  <c r="A167" i="1"/>
  <c r="B167" i="1"/>
  <c r="A168" i="1"/>
  <c r="B168" i="1"/>
  <c r="A169" i="1"/>
  <c r="B169" i="1"/>
  <c r="A170" i="1"/>
  <c r="B170" i="1"/>
  <c r="A171" i="1"/>
  <c r="B171" i="1"/>
  <c r="A172" i="1"/>
  <c r="B172" i="1"/>
  <c r="A173" i="1"/>
  <c r="B173" i="1"/>
  <c r="A174" i="1"/>
  <c r="B174" i="1"/>
  <c r="A175" i="1"/>
  <c r="A176" i="1"/>
  <c r="A177" i="1"/>
  <c r="A178" i="1"/>
  <c r="B178" i="1"/>
  <c r="A179" i="1"/>
  <c r="B179" i="1"/>
  <c r="A180" i="1"/>
  <c r="B180" i="1"/>
  <c r="A181" i="1"/>
  <c r="B181" i="1"/>
  <c r="A182" i="1"/>
  <c r="A183" i="1"/>
  <c r="B183" i="1"/>
  <c r="A184" i="1"/>
  <c r="B184" i="1"/>
  <c r="A185" i="1"/>
  <c r="B185" i="1"/>
  <c r="A186" i="1"/>
  <c r="B186" i="1"/>
  <c r="A187" i="1"/>
  <c r="B187" i="1"/>
  <c r="A188" i="1"/>
  <c r="A189" i="1"/>
  <c r="B189" i="1"/>
  <c r="A190" i="1"/>
  <c r="A191" i="1"/>
  <c r="B191" i="1"/>
  <c r="A192" i="1"/>
  <c r="A193" i="1"/>
  <c r="A194" i="1"/>
  <c r="B194" i="1"/>
  <c r="A195" i="1"/>
  <c r="A196" i="1"/>
  <c r="B196" i="1"/>
  <c r="A197" i="1"/>
  <c r="B197" i="1"/>
  <c r="A198" i="1"/>
  <c r="B198" i="1"/>
  <c r="A199" i="1"/>
  <c r="A200" i="1"/>
  <c r="B200" i="1"/>
  <c r="A201" i="1"/>
  <c r="B201" i="1"/>
  <c r="A202" i="1"/>
  <c r="A203" i="1"/>
  <c r="B203" i="1"/>
  <c r="A204" i="1"/>
  <c r="B204" i="1"/>
  <c r="A205" i="1"/>
  <c r="B205" i="1"/>
  <c r="A206" i="1"/>
  <c r="A207" i="1"/>
  <c r="A208" i="1"/>
  <c r="B208" i="1"/>
  <c r="A209" i="1"/>
  <c r="B209" i="1"/>
  <c r="A210" i="1"/>
  <c r="B210" i="1"/>
  <c r="A211" i="1"/>
  <c r="A212" i="1"/>
  <c r="B212" i="1"/>
  <c r="A213" i="1"/>
  <c r="A214" i="1"/>
  <c r="B214" i="1"/>
  <c r="A215" i="1"/>
  <c r="B215" i="1"/>
  <c r="A216" i="1"/>
  <c r="B216" i="1"/>
  <c r="A217" i="1"/>
  <c r="B217" i="1"/>
  <c r="A218" i="1"/>
  <c r="A219" i="1"/>
  <c r="A220" i="1"/>
  <c r="A221" i="1"/>
  <c r="B221" i="1"/>
  <c r="A222" i="1"/>
  <c r="B222" i="1"/>
  <c r="A223" i="1"/>
  <c r="B223" i="1"/>
  <c r="A224" i="1"/>
  <c r="B224" i="1"/>
  <c r="A225" i="1"/>
  <c r="B225" i="1"/>
  <c r="A226" i="1"/>
  <c r="B226" i="1"/>
  <c r="A227" i="1"/>
  <c r="B227" i="1"/>
  <c r="A228" i="1"/>
  <c r="A229" i="1"/>
  <c r="B229" i="1"/>
  <c r="A230" i="1"/>
  <c r="A231" i="1"/>
  <c r="B231" i="1"/>
  <c r="A232" i="1"/>
  <c r="A233" i="1"/>
  <c r="A234" i="1"/>
  <c r="B234" i="1"/>
  <c r="A235" i="1"/>
  <c r="B235" i="1"/>
  <c r="A236" i="1"/>
  <c r="A237" i="1"/>
  <c r="A238" i="1"/>
  <c r="B238" i="1"/>
  <c r="A239" i="1"/>
  <c r="B239" i="1"/>
  <c r="A240" i="1"/>
  <c r="A241" i="1"/>
  <c r="A242" i="1"/>
  <c r="B242" i="1"/>
  <c r="A243" i="1"/>
  <c r="B243" i="1"/>
  <c r="A244" i="1"/>
  <c r="B244" i="1"/>
  <c r="A245" i="1"/>
  <c r="B245" i="1"/>
  <c r="A246" i="1"/>
  <c r="B246" i="1"/>
  <c r="A247" i="1"/>
  <c r="A248" i="1"/>
  <c r="B248" i="1"/>
  <c r="A249" i="1"/>
  <c r="B249" i="1"/>
  <c r="A250" i="1"/>
  <c r="A251" i="1"/>
  <c r="B251" i="1"/>
  <c r="A252" i="1"/>
  <c r="B252" i="1"/>
  <c r="A253" i="1"/>
  <c r="B253" i="1"/>
  <c r="A254" i="1"/>
  <c r="B254" i="1"/>
  <c r="A255" i="1"/>
  <c r="B255" i="1"/>
  <c r="A256" i="1"/>
  <c r="B256" i="1"/>
  <c r="A257" i="1"/>
  <c r="A258" i="1"/>
  <c r="B258" i="1"/>
  <c r="A259" i="1"/>
  <c r="B259" i="1"/>
  <c r="A260" i="1"/>
  <c r="B260" i="1"/>
  <c r="A261" i="1"/>
  <c r="A262" i="1"/>
  <c r="B262" i="1"/>
  <c r="A263" i="1"/>
  <c r="A264" i="1"/>
  <c r="B264" i="1"/>
  <c r="A265" i="1"/>
  <c r="A266" i="1"/>
  <c r="A267" i="1"/>
  <c r="B267" i="1"/>
  <c r="A268" i="1"/>
  <c r="A269" i="1"/>
  <c r="A270" i="1"/>
  <c r="B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301" i="1"/>
  <c r="B301" i="1"/>
  <c r="A302" i="1"/>
  <c r="A303" i="1"/>
  <c r="B303" i="1"/>
  <c r="A304" i="1"/>
  <c r="B304" i="1"/>
  <c r="A305" i="1"/>
  <c r="B305" i="1"/>
  <c r="A306" i="1"/>
  <c r="B306" i="1"/>
  <c r="A307" i="1"/>
  <c r="B307" i="1"/>
  <c r="A308" i="1"/>
  <c r="B308" i="1"/>
  <c r="A309" i="1"/>
  <c r="B309" i="1"/>
  <c r="A310" i="1"/>
  <c r="B310" i="1"/>
  <c r="A311" i="1"/>
  <c r="B311" i="1"/>
  <c r="A312" i="1"/>
  <c r="B312" i="1"/>
  <c r="A313" i="1"/>
  <c r="A314" i="1"/>
  <c r="B314" i="1"/>
  <c r="A315" i="1"/>
  <c r="B315" i="1"/>
  <c r="A316" i="1"/>
  <c r="A317" i="1"/>
  <c r="B317" i="1"/>
  <c r="A318" i="1"/>
  <c r="B318" i="1"/>
  <c r="A319" i="1"/>
  <c r="B319" i="1"/>
  <c r="A320" i="1"/>
  <c r="B320" i="1"/>
  <c r="A321" i="1"/>
  <c r="B321" i="1"/>
  <c r="A322" i="1"/>
  <c r="A323" i="1"/>
  <c r="B323" i="1"/>
  <c r="A324" i="1"/>
  <c r="B324" i="1"/>
  <c r="A325" i="1"/>
  <c r="B325" i="1"/>
  <c r="A326" i="1"/>
  <c r="B326" i="1"/>
  <c r="A327" i="1"/>
  <c r="A328" i="1"/>
  <c r="B328" i="1"/>
  <c r="A329" i="1"/>
  <c r="B329" i="1"/>
  <c r="A330" i="1"/>
  <c r="A331" i="1"/>
  <c r="B331" i="1"/>
  <c r="A332" i="1"/>
  <c r="B332" i="1"/>
  <c r="A333" i="1"/>
  <c r="A334" i="1"/>
  <c r="B334" i="1"/>
  <c r="A335" i="1"/>
  <c r="B335" i="1"/>
  <c r="A336" i="1"/>
  <c r="A337" i="1"/>
  <c r="A338" i="1"/>
  <c r="B338" i="1"/>
  <c r="A339" i="1"/>
  <c r="B339" i="1"/>
  <c r="A340" i="1"/>
  <c r="A341" i="1"/>
  <c r="B341" i="1"/>
  <c r="A342" i="1"/>
  <c r="A343" i="1"/>
  <c r="B343" i="1"/>
  <c r="A344" i="1"/>
  <c r="B344" i="1"/>
  <c r="A345" i="1"/>
  <c r="B345" i="1"/>
  <c r="A346" i="1"/>
  <c r="B346" i="1"/>
  <c r="A347" i="1"/>
  <c r="A348" i="1"/>
  <c r="A349" i="1"/>
  <c r="B349" i="1"/>
  <c r="A350" i="1"/>
  <c r="B350" i="1"/>
  <c r="A351" i="1"/>
  <c r="B351" i="1"/>
  <c r="A352" i="1"/>
  <c r="B352" i="1"/>
  <c r="A353" i="1"/>
  <c r="B353" i="1"/>
  <c r="A354" i="1"/>
  <c r="B354" i="1"/>
  <c r="A355" i="1"/>
  <c r="B355" i="1"/>
  <c r="A356" i="1"/>
  <c r="B356" i="1"/>
  <c r="A357" i="1"/>
  <c r="A358" i="1"/>
  <c r="B358" i="1"/>
  <c r="A359" i="1"/>
  <c r="B359" i="1"/>
  <c r="A360" i="1"/>
  <c r="B360" i="1"/>
  <c r="A361" i="1"/>
  <c r="B361" i="1"/>
  <c r="A362" i="1"/>
  <c r="B362" i="1"/>
  <c r="A363" i="1"/>
  <c r="B363" i="1"/>
  <c r="A364" i="1"/>
  <c r="A365" i="1"/>
  <c r="B365" i="1"/>
  <c r="A366" i="1"/>
  <c r="B366" i="1"/>
  <c r="A367" i="1"/>
  <c r="A368" i="1"/>
  <c r="A369" i="1"/>
  <c r="B369" i="1"/>
  <c r="A370" i="1"/>
  <c r="B370" i="1"/>
  <c r="A371" i="1"/>
  <c r="B371" i="1"/>
  <c r="A372" i="1"/>
  <c r="A373" i="1"/>
  <c r="A374" i="1"/>
  <c r="A375" i="1"/>
  <c r="B375" i="1"/>
  <c r="A376" i="1"/>
  <c r="B376" i="1"/>
  <c r="A377" i="1"/>
  <c r="B377" i="1"/>
  <c r="A378" i="1"/>
  <c r="B378" i="1"/>
  <c r="A379" i="1"/>
  <c r="B379" i="1"/>
  <c r="A380" i="1"/>
  <c r="A381" i="1"/>
  <c r="A382" i="1"/>
  <c r="A383" i="1"/>
  <c r="A384" i="1"/>
  <c r="A385" i="1"/>
  <c r="B385" i="1"/>
  <c r="A386" i="1"/>
  <c r="B386" i="1"/>
  <c r="A387" i="1"/>
  <c r="A388" i="1"/>
  <c r="B388" i="1"/>
  <c r="A389" i="1"/>
  <c r="B389" i="1"/>
  <c r="A390" i="1"/>
  <c r="B390" i="1"/>
  <c r="A391" i="1"/>
  <c r="A392" i="1"/>
  <c r="B392" i="1"/>
  <c r="A393" i="1"/>
  <c r="B393" i="1"/>
  <c r="A394" i="1"/>
  <c r="B394" i="1"/>
  <c r="A395" i="1"/>
  <c r="B395" i="1"/>
  <c r="A396" i="1"/>
  <c r="A397" i="1"/>
  <c r="B397" i="1"/>
  <c r="A398" i="1"/>
  <c r="B398" i="1"/>
  <c r="A399" i="1"/>
  <c r="B399" i="1"/>
  <c r="A400" i="1"/>
  <c r="B400" i="1"/>
  <c r="A401" i="1"/>
  <c r="B401" i="1"/>
  <c r="A402" i="1"/>
  <c r="B402" i="1"/>
  <c r="A403" i="1"/>
  <c r="B403" i="1"/>
  <c r="A404" i="1"/>
  <c r="B404" i="1"/>
  <c r="A405" i="1"/>
  <c r="B405" i="1"/>
  <c r="A406" i="1"/>
  <c r="A407" i="1"/>
  <c r="A408" i="1"/>
  <c r="B408" i="1"/>
  <c r="A409" i="1"/>
  <c r="B409" i="1"/>
  <c r="A410" i="1"/>
  <c r="A411" i="1"/>
  <c r="B411" i="1"/>
  <c r="A412" i="1"/>
  <c r="A413" i="1"/>
  <c r="A414" i="1"/>
  <c r="B414" i="1"/>
  <c r="A415" i="1"/>
  <c r="B415" i="1"/>
  <c r="A416" i="1"/>
  <c r="B416" i="1"/>
  <c r="A417" i="1"/>
  <c r="B417" i="1"/>
  <c r="A418" i="1"/>
  <c r="A419" i="1"/>
  <c r="B419" i="1"/>
  <c r="A420" i="1"/>
  <c r="B420" i="1"/>
  <c r="A421" i="1"/>
  <c r="B421" i="1"/>
  <c r="A422" i="1"/>
  <c r="A423" i="1"/>
  <c r="A424" i="1"/>
  <c r="B424" i="1"/>
  <c r="A425" i="1"/>
  <c r="B425" i="1"/>
  <c r="A426" i="1"/>
  <c r="B426" i="1"/>
  <c r="A427" i="1"/>
  <c r="B427" i="1"/>
  <c r="A428" i="1"/>
  <c r="B428" i="1"/>
  <c r="A429" i="1"/>
  <c r="B429" i="1"/>
  <c r="A430" i="1"/>
  <c r="B430" i="1"/>
  <c r="A431" i="1"/>
  <c r="B431" i="1"/>
  <c r="A432" i="1"/>
  <c r="B432" i="1"/>
  <c r="A433" i="1"/>
  <c r="A434" i="1"/>
  <c r="A435" i="1"/>
  <c r="B435" i="1"/>
  <c r="A436" i="1"/>
  <c r="B436" i="1"/>
  <c r="A437" i="1"/>
  <c r="B437" i="1"/>
  <c r="A438" i="1"/>
  <c r="A439" i="1"/>
  <c r="A440" i="1"/>
  <c r="B440" i="1"/>
  <c r="A441" i="1"/>
  <c r="B441" i="1"/>
  <c r="A442" i="1"/>
  <c r="B442" i="1"/>
  <c r="A443" i="1"/>
  <c r="B443" i="1"/>
  <c r="A444" i="1"/>
  <c r="B444" i="1"/>
  <c r="A445" i="1"/>
  <c r="B445" i="1"/>
  <c r="A446" i="1"/>
  <c r="A447" i="1"/>
  <c r="B447" i="1"/>
  <c r="A448" i="1"/>
  <c r="B448" i="1"/>
  <c r="A449" i="1"/>
  <c r="B449" i="1"/>
  <c r="A450" i="1"/>
  <c r="B450" i="1"/>
  <c r="A451" i="1"/>
  <c r="A452" i="1"/>
  <c r="B452" i="1"/>
  <c r="A453" i="1"/>
  <c r="A454" i="1"/>
  <c r="A455" i="1"/>
  <c r="B455" i="1"/>
  <c r="A456" i="1"/>
  <c r="A457" i="1"/>
  <c r="A458" i="1"/>
  <c r="A459" i="1"/>
  <c r="A460" i="1"/>
  <c r="B460" i="1"/>
  <c r="A461" i="1"/>
  <c r="B461" i="1"/>
  <c r="A462" i="1"/>
  <c r="B462" i="1"/>
  <c r="A463" i="1"/>
  <c r="B463" i="1"/>
  <c r="A464" i="1"/>
  <c r="A465" i="1"/>
  <c r="B465" i="1"/>
  <c r="A466" i="1"/>
  <c r="B466" i="1"/>
  <c r="A467" i="1"/>
  <c r="A468" i="1"/>
  <c r="A469" i="1"/>
  <c r="A470" i="1"/>
  <c r="B470" i="1"/>
  <c r="A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A490" i="1"/>
  <c r="B490" i="1"/>
  <c r="A491" i="1"/>
  <c r="B491" i="1"/>
  <c r="A492" i="1"/>
  <c r="B492" i="1"/>
  <c r="A493" i="1"/>
  <c r="B493" i="1"/>
  <c r="A494" i="1"/>
  <c r="B494" i="1"/>
  <c r="A495" i="1"/>
  <c r="B495" i="1"/>
  <c r="A496" i="1"/>
  <c r="B496" i="1"/>
  <c r="A497" i="1"/>
  <c r="B497" i="1"/>
  <c r="A498" i="1"/>
  <c r="B498" i="1"/>
  <c r="A499" i="1"/>
  <c r="B499" i="1"/>
  <c r="A500" i="1"/>
  <c r="B500" i="1"/>
  <c r="A501" i="1"/>
  <c r="A502" i="1"/>
  <c r="B502" i="1"/>
  <c r="A503" i="1"/>
  <c r="B503" i="1"/>
  <c r="A504" i="1"/>
  <c r="A505" i="1"/>
  <c r="B505" i="1"/>
  <c r="A506" i="1"/>
  <c r="A507" i="1"/>
  <c r="A508" i="1"/>
  <c r="A509" i="1"/>
  <c r="B509" i="1"/>
  <c r="A510" i="1"/>
  <c r="A511" i="1"/>
  <c r="A512" i="1"/>
  <c r="B512" i="1"/>
  <c r="A513" i="1"/>
  <c r="B513" i="1"/>
  <c r="A514" i="1"/>
  <c r="B514" i="1"/>
  <c r="A515" i="1"/>
  <c r="B515" i="1"/>
  <c r="A516" i="1"/>
  <c r="A517" i="1"/>
  <c r="B517" i="1"/>
  <c r="A518" i="1"/>
  <c r="B518" i="1"/>
  <c r="A519" i="1"/>
  <c r="B519" i="1"/>
  <c r="A520" i="1"/>
  <c r="B520" i="1"/>
  <c r="A521" i="1"/>
  <c r="B521" i="1"/>
  <c r="A522" i="1"/>
  <c r="A523" i="1"/>
  <c r="A524" i="1"/>
  <c r="A525" i="1"/>
  <c r="B525" i="1"/>
  <c r="A526" i="1"/>
  <c r="B526" i="1"/>
  <c r="A527" i="1"/>
  <c r="B527" i="1"/>
  <c r="A528" i="1"/>
  <c r="B528" i="1"/>
  <c r="A529" i="1"/>
  <c r="A530" i="1"/>
  <c r="B530" i="1"/>
  <c r="A531" i="1"/>
  <c r="B531" i="1"/>
  <c r="A532" i="1"/>
  <c r="B532" i="1"/>
  <c r="A533" i="1"/>
  <c r="B533" i="1"/>
  <c r="A534" i="1"/>
  <c r="B534" i="1"/>
  <c r="A535" i="1"/>
  <c r="B535" i="1"/>
  <c r="A536" i="1"/>
  <c r="B536" i="1"/>
  <c r="A537" i="1"/>
  <c r="B537" i="1"/>
  <c r="A538" i="1"/>
  <c r="B538" i="1"/>
  <c r="A539" i="1"/>
  <c r="B539" i="1"/>
  <c r="A540" i="1"/>
  <c r="A541" i="1"/>
  <c r="B541" i="1"/>
  <c r="A542" i="1"/>
  <c r="A543" i="1"/>
  <c r="B543" i="1"/>
  <c r="A544" i="1"/>
  <c r="B544" i="1"/>
  <c r="A545" i="1"/>
  <c r="A546" i="1"/>
  <c r="B546" i="1"/>
  <c r="A547" i="1"/>
  <c r="B547" i="1"/>
  <c r="A548" i="1"/>
  <c r="A549" i="1"/>
  <c r="B549" i="1"/>
  <c r="A550" i="1"/>
  <c r="B550" i="1"/>
  <c r="A551" i="1"/>
  <c r="B551" i="1"/>
  <c r="A552" i="1"/>
  <c r="A553" i="1"/>
  <c r="B553" i="1"/>
  <c r="A554" i="1"/>
  <c r="B554" i="1"/>
  <c r="A555" i="1"/>
  <c r="B555" i="1"/>
  <c r="A556" i="1"/>
  <c r="B556" i="1"/>
  <c r="A557" i="1"/>
  <c r="B557" i="1"/>
  <c r="A558" i="1"/>
  <c r="B558" i="1"/>
  <c r="A559" i="1"/>
  <c r="B559" i="1"/>
  <c r="A560" i="1"/>
  <c r="B560" i="1"/>
  <c r="A561" i="1"/>
  <c r="B561" i="1"/>
  <c r="A562" i="1"/>
  <c r="B562" i="1"/>
  <c r="A563" i="1"/>
  <c r="B563" i="1"/>
  <c r="A564" i="1"/>
  <c r="A565" i="1"/>
  <c r="B565" i="1"/>
  <c r="A566" i="1"/>
  <c r="B566" i="1"/>
  <c r="A567" i="1"/>
  <c r="A568" i="1"/>
  <c r="B568" i="1"/>
  <c r="A569" i="1"/>
  <c r="B569" i="1"/>
  <c r="A570" i="1"/>
  <c r="B570" i="1"/>
  <c r="A571" i="1"/>
  <c r="B571" i="1"/>
  <c r="A572" i="1"/>
  <c r="B572" i="1"/>
  <c r="A573" i="1"/>
  <c r="A574" i="1"/>
  <c r="B574" i="1"/>
  <c r="A575" i="1"/>
  <c r="B575" i="1"/>
  <c r="A576" i="1"/>
  <c r="B576" i="1"/>
  <c r="A577" i="1"/>
  <c r="B577" i="1"/>
  <c r="A578" i="1"/>
  <c r="B578" i="1"/>
  <c r="A579" i="1"/>
  <c r="B579" i="1"/>
  <c r="A580" i="1"/>
  <c r="B580" i="1"/>
  <c r="A581" i="1"/>
  <c r="A582" i="1"/>
  <c r="B582" i="1"/>
  <c r="A583" i="1"/>
  <c r="B583" i="1"/>
  <c r="A584" i="1"/>
  <c r="B584" i="1"/>
  <c r="A585" i="1"/>
  <c r="A586" i="1"/>
  <c r="A587" i="1"/>
  <c r="A588" i="1"/>
  <c r="B588" i="1"/>
  <c r="A589" i="1"/>
  <c r="B589" i="1"/>
  <c r="A590" i="1"/>
  <c r="B590" i="1"/>
  <c r="A591" i="1"/>
  <c r="B591" i="1"/>
  <c r="A592" i="1"/>
  <c r="B592" i="1"/>
  <c r="A593" i="1"/>
  <c r="A594" i="1"/>
  <c r="B594" i="1"/>
  <c r="A595" i="1"/>
  <c r="A596" i="1"/>
  <c r="A597" i="1"/>
  <c r="A598" i="1"/>
  <c r="B598" i="1"/>
  <c r="A599" i="1"/>
  <c r="B599" i="1"/>
  <c r="A600" i="1"/>
  <c r="A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A616" i="1"/>
  <c r="B616" i="1"/>
  <c r="A617" i="1"/>
  <c r="B617" i="1"/>
  <c r="A618" i="1"/>
  <c r="B618" i="1"/>
  <c r="A619" i="1"/>
  <c r="B619" i="1"/>
  <c r="A620" i="1"/>
  <c r="B620" i="1"/>
  <c r="A621" i="1"/>
  <c r="B621" i="1"/>
  <c r="A622" i="1"/>
  <c r="B622" i="1"/>
  <c r="A623" i="1"/>
  <c r="B623" i="1"/>
  <c r="A624" i="1"/>
  <c r="B624" i="1"/>
  <c r="A625" i="1"/>
  <c r="A626" i="1"/>
  <c r="B626" i="1"/>
  <c r="A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A642" i="1"/>
  <c r="B642" i="1"/>
  <c r="A643" i="1"/>
  <c r="B643" i="1"/>
  <c r="A644" i="1"/>
  <c r="A645" i="1"/>
  <c r="B645" i="1"/>
  <c r="A646" i="1"/>
  <c r="B646" i="1"/>
  <c r="A647" i="1"/>
  <c r="A648" i="1"/>
  <c r="B648" i="1"/>
  <c r="A649" i="1"/>
  <c r="B649" i="1"/>
  <c r="A650" i="1"/>
  <c r="B650" i="1"/>
  <c r="A651" i="1"/>
  <c r="B651" i="1"/>
  <c r="A652" i="1"/>
  <c r="B652" i="1"/>
  <c r="A653" i="1"/>
  <c r="B653" i="1"/>
  <c r="A654" i="1"/>
  <c r="B654" i="1"/>
  <c r="A655" i="1"/>
  <c r="B655" i="1"/>
  <c r="A656" i="1"/>
  <c r="B656" i="1"/>
  <c r="A657" i="1"/>
  <c r="A658" i="1"/>
  <c r="A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A687" i="1"/>
  <c r="B687" i="1"/>
  <c r="A688" i="1"/>
  <c r="B688" i="1"/>
  <c r="A689" i="1"/>
  <c r="B689" i="1"/>
  <c r="A690" i="1"/>
  <c r="B690" i="1"/>
  <c r="A691" i="1"/>
  <c r="B691" i="1"/>
  <c r="A692" i="1"/>
  <c r="B692" i="1"/>
  <c r="A693" i="1"/>
  <c r="B693" i="1"/>
  <c r="A694" i="1"/>
  <c r="A695" i="1"/>
  <c r="B695" i="1"/>
  <c r="A696" i="1"/>
  <c r="B696" i="1"/>
  <c r="A697" i="1"/>
  <c r="B697" i="1"/>
  <c r="A698" i="1"/>
  <c r="B698" i="1"/>
  <c r="A699" i="1"/>
  <c r="B699" i="1"/>
  <c r="A700" i="1"/>
  <c r="B700" i="1"/>
  <c r="A701" i="1"/>
  <c r="B701" i="1"/>
  <c r="A702" i="1"/>
  <c r="B702" i="1"/>
  <c r="A703" i="1"/>
  <c r="B703" i="1"/>
  <c r="A704" i="1"/>
  <c r="B704" i="1"/>
  <c r="A705" i="1"/>
  <c r="A706" i="1"/>
  <c r="B706" i="1"/>
  <c r="A707" i="1"/>
  <c r="A708" i="1"/>
  <c r="B708" i="1"/>
  <c r="A709" i="1"/>
  <c r="B709" i="1"/>
  <c r="A710" i="1"/>
  <c r="B710" i="1"/>
  <c r="A711" i="1"/>
  <c r="A712" i="1"/>
  <c r="B712" i="1"/>
  <c r="A713" i="1"/>
  <c r="B713" i="1"/>
  <c r="A714" i="1"/>
  <c r="B714" i="1"/>
  <c r="A715" i="1"/>
  <c r="A716" i="1"/>
  <c r="B716" i="1"/>
  <c r="A717" i="1"/>
  <c r="A718" i="1"/>
  <c r="B718" i="1"/>
  <c r="A719" i="1"/>
  <c r="B719" i="1"/>
  <c r="A720" i="1"/>
  <c r="B720" i="1"/>
  <c r="A721" i="1"/>
  <c r="B721" i="1"/>
  <c r="A722" i="1"/>
  <c r="B722" i="1"/>
  <c r="A723" i="1"/>
  <c r="B723" i="1"/>
  <c r="A724" i="1"/>
  <c r="A725" i="1"/>
  <c r="A726" i="1"/>
  <c r="B726" i="1"/>
  <c r="A727" i="1"/>
  <c r="A728" i="1"/>
  <c r="B728" i="1"/>
  <c r="A729" i="1"/>
  <c r="B729" i="1"/>
  <c r="A730" i="1"/>
  <c r="B730" i="1"/>
  <c r="A731" i="1"/>
  <c r="B731" i="1"/>
  <c r="A732" i="1"/>
  <c r="B732" i="1"/>
  <c r="A733" i="1"/>
  <c r="B733" i="1"/>
  <c r="A734" i="1"/>
  <c r="A735" i="1"/>
  <c r="B735" i="1"/>
  <c r="A736" i="1"/>
  <c r="B736" i="1"/>
  <c r="A737" i="1"/>
  <c r="A738" i="1"/>
  <c r="A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A771" i="1"/>
  <c r="A772" i="1"/>
  <c r="A773" i="1"/>
  <c r="B773" i="1"/>
  <c r="A774" i="1"/>
  <c r="B774" i="1"/>
  <c r="A775" i="1"/>
  <c r="B775" i="1"/>
  <c r="A776" i="1"/>
  <c r="B776" i="1"/>
  <c r="A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A793" i="1"/>
  <c r="A794" i="1"/>
  <c r="B794" i="1"/>
  <c r="A795" i="1"/>
  <c r="B795" i="1"/>
  <c r="A796" i="1"/>
  <c r="B796" i="1"/>
  <c r="A797" i="1"/>
  <c r="B797" i="1"/>
  <c r="A798" i="1"/>
  <c r="B798" i="1"/>
  <c r="A799" i="1"/>
  <c r="B799" i="1"/>
  <c r="A800" i="1"/>
  <c r="B800" i="1"/>
  <c r="A801" i="1"/>
  <c r="B801" i="1"/>
  <c r="A802" i="1"/>
  <c r="A803" i="1"/>
  <c r="A804" i="1"/>
  <c r="B804" i="1"/>
  <c r="A805" i="1"/>
  <c r="B805" i="1"/>
  <c r="A806" i="1"/>
  <c r="B806" i="1"/>
  <c r="A807" i="1"/>
  <c r="B807" i="1"/>
  <c r="A808" i="1"/>
  <c r="B808" i="1"/>
  <c r="A809" i="1"/>
  <c r="B809" i="1"/>
  <c r="A810" i="1"/>
  <c r="A811" i="1"/>
  <c r="A812" i="1"/>
  <c r="B812" i="1"/>
  <c r="A813" i="1"/>
  <c r="B813" i="1"/>
  <c r="A814" i="1"/>
  <c r="B814" i="1"/>
  <c r="A815" i="1"/>
  <c r="B815" i="1"/>
  <c r="A816" i="1"/>
  <c r="B816" i="1"/>
  <c r="A817" i="1"/>
  <c r="B817" i="1"/>
  <c r="A818" i="1"/>
  <c r="B818" i="1"/>
  <c r="A819" i="1"/>
  <c r="B819" i="1"/>
  <c r="A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A835" i="1"/>
  <c r="B835" i="1"/>
  <c r="A836" i="1"/>
  <c r="B836" i="1"/>
  <c r="A837" i="1"/>
  <c r="B837" i="1"/>
  <c r="A838" i="1"/>
  <c r="A839" i="1"/>
  <c r="B839" i="1"/>
  <c r="A840" i="1"/>
  <c r="B840" i="1"/>
  <c r="A841" i="1"/>
  <c r="B841" i="1"/>
  <c r="A842" i="1"/>
  <c r="B842" i="1"/>
  <c r="A843" i="1"/>
  <c r="B843" i="1"/>
  <c r="A844" i="1"/>
  <c r="B844" i="1"/>
  <c r="A845" i="1"/>
  <c r="B845" i="1"/>
  <c r="A846" i="1"/>
  <c r="A847" i="1"/>
  <c r="B847" i="1"/>
  <c r="A848" i="1"/>
  <c r="B848" i="1"/>
  <c r="A849" i="1"/>
  <c r="B849" i="1"/>
  <c r="A850" i="1"/>
  <c r="B850" i="1"/>
  <c r="A851" i="1"/>
  <c r="B851" i="1"/>
  <c r="A852" i="1"/>
  <c r="B852" i="1"/>
  <c r="A853" i="1"/>
  <c r="A854" i="1"/>
  <c r="B854" i="1"/>
  <c r="A855" i="1"/>
  <c r="B855" i="1"/>
  <c r="A856" i="1"/>
  <c r="B856" i="1"/>
  <c r="A857" i="1"/>
  <c r="A858" i="1"/>
  <c r="A859" i="1"/>
  <c r="B859" i="1"/>
  <c r="A860" i="1"/>
  <c r="B860" i="1"/>
  <c r="A861" i="1"/>
  <c r="A862" i="1"/>
  <c r="A863" i="1"/>
  <c r="B863" i="1"/>
  <c r="A864" i="1"/>
  <c r="B864" i="1"/>
  <c r="A865" i="1"/>
  <c r="A866" i="1"/>
  <c r="B866" i="1"/>
  <c r="A867" i="1"/>
  <c r="B867" i="1"/>
  <c r="A868" i="1"/>
  <c r="B868" i="1"/>
  <c r="A869" i="1"/>
  <c r="B869" i="1"/>
  <c r="A870" i="1"/>
  <c r="B870" i="1"/>
  <c r="A871" i="1"/>
  <c r="B871" i="1"/>
  <c r="A872" i="1"/>
  <c r="B872" i="1"/>
  <c r="A873" i="1"/>
  <c r="B873" i="1"/>
  <c r="A874" i="1"/>
  <c r="B874" i="1"/>
  <c r="A875" i="1"/>
  <c r="B875" i="1"/>
  <c r="A876" i="1"/>
  <c r="B876" i="1"/>
  <c r="A877" i="1"/>
  <c r="B877" i="1"/>
  <c r="A878" i="1"/>
  <c r="B878" i="1"/>
  <c r="A879" i="1"/>
  <c r="A880" i="1"/>
  <c r="B880" i="1"/>
  <c r="A881" i="1"/>
  <c r="B881" i="1"/>
  <c r="A882" i="1"/>
  <c r="B882" i="1"/>
  <c r="A883" i="1"/>
  <c r="B883" i="1"/>
  <c r="A884" i="1"/>
  <c r="A885" i="1"/>
  <c r="B885" i="1"/>
  <c r="A886" i="1"/>
  <c r="B886" i="1"/>
  <c r="A887" i="1"/>
  <c r="B887" i="1"/>
  <c r="A888" i="1"/>
  <c r="B888" i="1"/>
  <c r="A889" i="1"/>
  <c r="A890" i="1"/>
  <c r="B890" i="1"/>
  <c r="A891" i="1"/>
  <c r="A892" i="1"/>
  <c r="B892" i="1"/>
  <c r="A893" i="1"/>
  <c r="B893" i="1"/>
  <c r="A894" i="1"/>
  <c r="B894" i="1"/>
  <c r="A895" i="1"/>
  <c r="B895" i="1"/>
  <c r="A896" i="1"/>
  <c r="B896" i="1"/>
  <c r="A897" i="1"/>
  <c r="B897" i="1"/>
  <c r="A898" i="1"/>
  <c r="B898" i="1"/>
  <c r="A899" i="1"/>
  <c r="A900" i="1"/>
  <c r="B900" i="1"/>
  <c r="A901" i="1"/>
  <c r="A902" i="1"/>
  <c r="B902" i="1"/>
  <c r="A903" i="1"/>
  <c r="B903" i="1"/>
  <c r="A904" i="1"/>
  <c r="A905" i="1"/>
  <c r="B905" i="1"/>
  <c r="A906" i="1"/>
  <c r="A907" i="1"/>
  <c r="B907" i="1"/>
  <c r="A908" i="1"/>
  <c r="B908" i="1"/>
  <c r="A909" i="1"/>
  <c r="B909" i="1"/>
  <c r="A910" i="1"/>
  <c r="A911" i="1"/>
  <c r="B911" i="1"/>
  <c r="A912" i="1"/>
  <c r="B912" i="1"/>
  <c r="A913" i="1"/>
  <c r="B913" i="1"/>
  <c r="A914" i="1"/>
  <c r="B914" i="1"/>
  <c r="A915" i="1"/>
  <c r="B915" i="1"/>
  <c r="A916" i="1"/>
  <c r="B916" i="1"/>
  <c r="A917" i="1"/>
  <c r="B917" i="1"/>
  <c r="A918" i="1"/>
  <c r="B918" i="1"/>
  <c r="A919" i="1"/>
  <c r="B919" i="1"/>
  <c r="A920" i="1"/>
  <c r="B920" i="1"/>
  <c r="A921" i="1"/>
  <c r="B921" i="1"/>
  <c r="A922" i="1"/>
  <c r="B922" i="1"/>
  <c r="A923" i="1"/>
  <c r="B923" i="1"/>
  <c r="A924" i="1"/>
  <c r="B924" i="1"/>
  <c r="A925" i="1"/>
  <c r="B925" i="1"/>
  <c r="A926" i="1"/>
  <c r="B926" i="1"/>
  <c r="A927" i="1"/>
  <c r="B927" i="1"/>
  <c r="A928" i="1"/>
  <c r="B928" i="1"/>
  <c r="A929" i="1"/>
  <c r="B929" i="1"/>
  <c r="A930" i="1"/>
  <c r="A931" i="1"/>
  <c r="B931" i="1"/>
  <c r="A932" i="1"/>
  <c r="B932" i="1"/>
  <c r="A933" i="1"/>
  <c r="B933" i="1"/>
  <c r="A934" i="1"/>
  <c r="B934" i="1"/>
  <c r="A935" i="1"/>
  <c r="A936" i="1"/>
  <c r="B936" i="1"/>
  <c r="A937" i="1"/>
  <c r="B937" i="1"/>
  <c r="A938" i="1"/>
  <c r="A939" i="1"/>
  <c r="A940" i="1"/>
  <c r="A941" i="1"/>
  <c r="A942" i="1"/>
  <c r="A943" i="1"/>
  <c r="A944" i="1"/>
  <c r="B944" i="1"/>
  <c r="A945" i="1"/>
  <c r="B945" i="1"/>
  <c r="A946" i="1"/>
  <c r="B946" i="1"/>
  <c r="A947" i="1"/>
  <c r="B947" i="1"/>
  <c r="A948" i="1"/>
  <c r="B948" i="1"/>
  <c r="A949" i="1"/>
  <c r="B949" i="1"/>
  <c r="A950" i="1"/>
  <c r="B950" i="1"/>
  <c r="A951" i="1"/>
  <c r="B951" i="1"/>
  <c r="A952" i="1"/>
  <c r="B952" i="1"/>
  <c r="A953" i="1"/>
  <c r="B953" i="1"/>
  <c r="A954" i="1"/>
  <c r="B954" i="1"/>
  <c r="A955" i="1"/>
  <c r="B955" i="1"/>
  <c r="A956" i="1"/>
  <c r="B956" i="1"/>
  <c r="A957" i="1"/>
  <c r="B957" i="1"/>
  <c r="A958" i="1"/>
  <c r="B958" i="1"/>
  <c r="A959" i="1"/>
  <c r="B959" i="1"/>
  <c r="A960" i="1"/>
  <c r="B960" i="1"/>
  <c r="A961" i="1"/>
  <c r="B961" i="1"/>
  <c r="A962" i="1"/>
  <c r="B962" i="1"/>
  <c r="A963" i="1"/>
  <c r="B963" i="1"/>
  <c r="A964" i="1"/>
  <c r="B964" i="1"/>
  <c r="A965" i="1"/>
  <c r="B965" i="1"/>
  <c r="A966" i="1"/>
  <c r="A967" i="1"/>
  <c r="B967" i="1"/>
  <c r="A968" i="1"/>
  <c r="B968" i="1"/>
  <c r="A969" i="1"/>
  <c r="B969" i="1"/>
  <c r="A970" i="1"/>
  <c r="B970" i="1"/>
  <c r="A971" i="1"/>
  <c r="B971" i="1"/>
  <c r="A972" i="1"/>
  <c r="B972" i="1"/>
  <c r="A973" i="1"/>
  <c r="B973" i="1"/>
  <c r="A974" i="1"/>
  <c r="B974" i="1"/>
  <c r="A975" i="1"/>
  <c r="B975" i="1"/>
  <c r="A976" i="1"/>
  <c r="B976" i="1"/>
  <c r="A977" i="1"/>
  <c r="B977" i="1"/>
  <c r="A978" i="1"/>
  <c r="B978" i="1"/>
  <c r="A979" i="1"/>
  <c r="B979" i="1"/>
  <c r="A980" i="1"/>
  <c r="B980" i="1"/>
  <c r="A981" i="1"/>
  <c r="B981" i="1"/>
  <c r="A982" i="1"/>
  <c r="B982" i="1"/>
  <c r="A983" i="1"/>
  <c r="B983" i="1"/>
  <c r="A984" i="1"/>
  <c r="B984" i="1"/>
  <c r="A985" i="1"/>
  <c r="B985" i="1"/>
  <c r="A986" i="1"/>
  <c r="B986" i="1"/>
  <c r="A987" i="1"/>
  <c r="B987" i="1"/>
  <c r="A988" i="1"/>
  <c r="B988" i="1"/>
  <c r="A989" i="1"/>
  <c r="B989" i="1"/>
  <c r="A990" i="1"/>
  <c r="A991" i="1"/>
  <c r="B991" i="1"/>
  <c r="A992" i="1"/>
  <c r="B992" i="1"/>
  <c r="A993" i="1"/>
  <c r="B993" i="1"/>
  <c r="A994" i="1"/>
  <c r="B994" i="1"/>
  <c r="A995" i="1"/>
  <c r="A996" i="1"/>
  <c r="A997" i="1"/>
  <c r="B997" i="1"/>
  <c r="A998" i="1"/>
  <c r="B998" i="1"/>
  <c r="A999" i="1"/>
  <c r="B999" i="1"/>
  <c r="A1000" i="1"/>
  <c r="A1001" i="1"/>
  <c r="A1002" i="1"/>
  <c r="A1003" i="1"/>
  <c r="B1003" i="1"/>
  <c r="A1004" i="1"/>
  <c r="B1004" i="1"/>
  <c r="A1005" i="1"/>
  <c r="A1006" i="1"/>
  <c r="A1007" i="1"/>
  <c r="A1008" i="1"/>
  <c r="A1009" i="1"/>
  <c r="A1010" i="1"/>
  <c r="B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A1028" i="1"/>
  <c r="B1028" i="1"/>
  <c r="A1029" i="1"/>
  <c r="B1029" i="1"/>
  <c r="A1030" i="1"/>
  <c r="B1030" i="1"/>
  <c r="A1031" i="1"/>
  <c r="A1032" i="1"/>
  <c r="B1032" i="1"/>
</calcChain>
</file>

<file path=xl/sharedStrings.xml><?xml version="1.0" encoding="utf-8"?>
<sst xmlns="http://schemas.openxmlformats.org/spreadsheetml/2006/main" count="251" uniqueCount="112">
  <si>
    <t>Produced:</t>
  </si>
  <si>
    <t>Mois(C):</t>
  </si>
  <si>
    <t>Annee(C):</t>
  </si>
  <si>
    <t>BUREAU(C):</t>
  </si>
  <si>
    <t>SYSCOM(C):</t>
  </si>
  <si>
    <t>FLUX(C):</t>
  </si>
  <si>
    <t>PROVDEST(C):</t>
  </si>
  <si>
    <t>PARTENAIRE(B):</t>
  </si>
  <si>
    <t>Y Axis (1)</t>
  </si>
  <si>
    <t>PRODUIT(B):</t>
  </si>
  <si>
    <t>Y Axis (2)</t>
  </si>
  <si>
    <t>INDICATORS(B):</t>
  </si>
  <si>
    <t>X Axis (1)</t>
  </si>
  <si>
    <t>=t("   POISSONS D'EAU DOUCE ET DE MER, COMESTIBLES, CONGELÉS (À L'EXCL. DES SALMONIDÉS, DES POISSONS PLATS, DES THONS, DES LISTAOS OU BONITES À VENTRE RAYÉ, DES HARENGS, DES MORUES, DES ESPADONS, DES LÉGINES, DES SARDINES, DES SARDINELLES, DES SPRATS OU E</t>
  </si>
  <si>
    <t>=t("   Racines d'arrow-root ou de salep, topinambours et racines et tubercules simil. à haute teneur en fécule ou en inuline, frais, réfrigérés, congelés ou séchés, même débités en morceaux ou agglomérés sous forme de pellets et moelle de sagoutier (à l'e</t>
  </si>
  <si>
    <t>=t("   ÉPICES (SAUF POIVRE [DU GENRE PIPER], PIMENTS DU GENRE CAPSICUM OU DU GENRE PIMENTA, VANILLE, CANNELLE ET FLEURS DE CANNELIER, GIROFLES [ANTOFLES, CLOUS ET GRIFFES], NOIX DE MUSCADE, MACIS, AMOMES ET CARDAMOMES, GRAINES D'ANIS, DE BADIANE, DE FENOU</t>
  </si>
  <si>
    <t>=t("   PLANTES, PARTIES DE PLANTES, GRAINES ET FRUITS DES ESPÈCES UTILISÉES PRINCIPALEMENT EN PARFUMERIE, EN MÉDECINE OU À USAGES INSECTICIDES, PARASITICIDES OU SIMIL., FRAIS OU SECS, MÊME COUPÉS, CONCASSÉS OU PULVÉRISÉS (À L'EXCL. DES RACINES DE GINSENG,</t>
  </si>
  <si>
    <t>=t("   Graisses et huiles végétales et leurs fractions, fixes, même raffinées, mais non chimiquement modifiées (à l'excl. des huiles de soja, d'arachide, d'olive, de palme, de tournesol, de carthame, de coton, de coco [coprah], de palmiste, de babassu, de</t>
  </si>
  <si>
    <t xml:space="preserve">=t("   Confitures, gelées, marmelades, purées et pâtes de fruits, obtenues par cuisson, avec ou sans addition de sucre ou d'autres édulcorants (à l'excl. des préparations homogénéisées du n° 2007.10 ainsi que des confitures, gelées, marmelades, purées et </t>
  </si>
  <si>
    <t>=t("   FRUITS À COQUE ET AUTRES GRAINES, Y.C. LES MÉLANGES, PRÉPARÉS OU CONSERVÉS (SAUF PRÉPARÉS OU CONSERVÉS AU VINAIGRE OU À L'ACIDE ACÉTIQUE, CONFITS AU SUCRE MAIS NON-CONSERVÉS DANS DU SIROP ET À L'EXCL. DES CONFITURES, GELÉES DE FRUITS, MARMELADES, P</t>
  </si>
  <si>
    <t xml:space="preserve">=t("   ANANAS, PRÉPARÉS OU CONSERVÉS, AVEC OU SANS ADDITION DE SUCRE OU D'AUTRES ÉDULCORANTS OU D'ALCOOL (SAUF CONFITS AU SUCRE MAIS NON-CONSERVÉS DANS DU SIROP ET À L'EXCL. DES CONFITURES, GELÉES DE FRUITS, MARMELADES, PURÉES ET PÂTES DE FRUITS OBTENUES </t>
  </si>
  <si>
    <t>=t("   FRUITS ET AUTRES PARTIES COMESTIBLES DE PLANTES, PRÉPARÉS OU CONSERVÉS, AVEC OU SANS ADDITION DE SUCRE OU D'AUTRES ÉDULCORANTS OU D'ALCOOL (SAUF PRÉPARÉS OU CONSERVÉS AU VINAIGRE OU À L'ACIDE ACÉTIQUE, CONFITS AU SUCRE MAIS NON-CONSERVÉS DANS DU SI</t>
  </si>
  <si>
    <t>=t("   CIDRE, POIRÉ, HYDROMEL ET AUTRES BOISSONS FERMENTÉES; MÉLANGES DE BOISSONS FERMENTÉES ET MÉLANGES DE BOISSONS FERMENTÉES ET DE BOISSONS NON-ALCOOLIQUES, N.D.A. (À L'EXCL. DE LA BIÈRE, DES VINS DE RAISINS FRAIS, DES MOÛTS DE RAISINS AINSI QUE DES VE</t>
  </si>
  <si>
    <t>=t("   ALCOOL ÉTHYLIQUE D'UN TITRE ALCOOMÉTRIQUE VOLUMIQUE &lt; 80% VOL, NON-DÉNATURÉ; EAUX-DE-VIE ET AUTRES BOISSONS SPIRITUEUSES (À L'EXCL. DES EAUX-DE-VIE DE VIN OU DE MARC DE RAISINS, DES WHISKIES, DU RHUM ET AUTRES EAUX-DE-VIE PROVENANT DE LA DISTILLATI</t>
  </si>
  <si>
    <t>=t("   TOURTEAUX ET AUTRES RÉSIDUS SOLIDES, MÊME BROYÉS OU AGGLOMÉRÉS SOUS FORME DE PELLETS, DE L'EXTRACTION DES GRAISSES OU HUILES DE NAVETTE OU DE COLZA D'UNE TENEUR ÉLEVÉE EN ACIDE ÉRUCIQUE 'FOURNISSANT UNE HUILE FIXE DONT LA TENEUR EN ACIDE ÉRUCIQUE E</t>
  </si>
  <si>
    <t>=t("   Ecaussines et autres pierres calcaires de taille ou de construction, d'une densité apparente &gt;= 2,5, et albâtre, même dégrossis ou simplement débités, par sciage ou autrement, en blocs ou en plaques de forme carrée ou rectangulaire (à l'excl. des m</t>
  </si>
  <si>
    <t>=t("   Médicaments constitués par des produits mélangés entre eux, préparés à des fins thérapeutiques ou prophylactiques, mais ni présentés sous forme de doses, ni conditionnés pour la vente au détail (sauf produits du n° 3002, 3005 ou 3006, médicaments c</t>
  </si>
  <si>
    <t>=t("   Médicaments constitués par des produits mélangés ou non, préparés à des fins thérapeutiques ou prophylactiques, présentés sous forme de doses [y.c. ceux destinés à être administrés par voie percutanée] ou conditionnés pour la vente au détail (à l'e</t>
  </si>
  <si>
    <t>=t("   OUATES, GAZES, BANDES ET ARTICLES ANALOGUES [PANSEMENTS, SPARADRAPS, SINAPISMES, P.EX.], IMPRÉGNÉS OU RECOUVERTS DE SUBSTANCES PHARMACEUTIQUES OU CONDITIONNÉS POUR LA VENTE AU DÉTAIL À DES FINS MÉDICALES, CHIRURGICALES, DENTAIRES OU VÉTÉRINAIRES (À</t>
  </si>
  <si>
    <t>=t("   PEINTURES ET VERNIS À BASE DE POLYMÈRES ACRYLIQUES OU VINYLIQUES, DISPERSÉS OU DISSOUS DANS UN MILIEU NON-AQUEUX, ET PRODUITS À BASE DE POLYMÈRES ACRYLIQUES OU VINYLIQUES EN SOLUTION DANS DES SOLVANTS ORGANIQUES VOLATILS, POUR AUTANT QUE LA PROPORT</t>
  </si>
  <si>
    <t xml:space="preserve">=t("   PEINTURES ET VERNIS À BASE DE POLYMÈRES SYNTHÉTIQUES OU DE POLYMÈRES NATURELS MODIFIÉS, DISPERSÉS OU DISSOUS DANS UN MILIEU NON-AQUEUX; PRODUITS VISÉS DANS LE LIBELLÉ DU N° 3901 À 3913 EN SOLUTION DANS DES SOLVANTS ORGANIQUES VOLATILS, POUR AUTANT </t>
  </si>
  <si>
    <t>=t("   PIGMENTS, Y.C. LES POUDRES ET FLOCONS MÉTALLIQUES, DISPERSÉS DANS DES MILIEUX NON-AQUEUX, SOUS FORME DE LIQUIDE OU DE PÂTE, DES TYPES UTILISÉS POUR LA FABRICATION DE PEINTURES; TEINTURES ET AUTRES MATIÈRES COLORANTES, N.D.A., PRÉSENTÉES DANS DES FO</t>
  </si>
  <si>
    <t>=t("   Produits de beauté ou de maquillage préparés et préparations pour l'entretien ou les soins de la peau, y.c. les préparations antisolaires et les préparations pour bronzer (à l'excl. des médicaments, des produits de maquillage pour les lèvres ou les</t>
  </si>
  <si>
    <t>=t("   Savons, produits et préparations organiques tensio-actifs à usage de savon, en barres, en pains, en morceaux ou en sujets frappés, et papier, ouates, feutres et nontissés, imprégnés, enduits ou recouverts de savon ou de détergents, pour la toilette</t>
  </si>
  <si>
    <t>=t("   Savons, produits et préparations organiques tensio-actifs à usage de savon, en barres, en pains, en morceaux ou en sujets frappés, et papier, ouates, feutres et nontissés, imprégnés, enduits ou recouverts de savon ou de détergents (à l'excl. des pr</t>
  </si>
  <si>
    <t>=t("   Articles de ménage ou d'économie domestique et articles d'hygiène ou de toilette, en matières plastiques (à l'excl. de la vaisselle et des articles pour usages sanitaires ou hygiéniques tels que baignoires, douches, lavabos, bidets, réservoirs de c</t>
  </si>
  <si>
    <t>=t("   Pneumatiques neufs, en caoutchouc (à l'excl. des pneumatiques à crampons, à chevrons ou simil. ainsi que des pneumatiques des types utilisés pour les véhicules et engins agricoles et forestiers, de génie civil et de manutention industrielle, pour l</t>
  </si>
  <si>
    <t>=t("   BOIS BRUTS DE CONIFÈRES, MÊME ÉCORCÉS, DÉSAUBIÉRÉS OU ÉQUARRIS (À L'EXCL. DES BOIS TRAITÉS AVEC UNE PEINTURE, DE LA CRÉOSOTE OU D'AUTRES AGENTS DE CONSERVATION, DES BOIS SIMPL. DÉGROSSIS OU ARRONDIS POUR CANNES, PARAPLUIES, MANCHES D'OUTILS OU SIMI</t>
  </si>
  <si>
    <t>=t("   Bois bruts des bois tropicaux visés à la note 1 de sous-position du présent chapitre, même écorcés, désaubiérés ou équarris (à l'excl. des bois de dark red meranti, light red meranti, meranti bakau, des bois traités avec une peinture, de la créosot</t>
  </si>
  <si>
    <t xml:space="preserve">=t("   BOIS BRUTS, MÊME ÉCORCÉS, DÉSAUBIÉRÉS OU ÉQUARRIS (SAUF BOIS DE CONIFÈRES, BOIS DE CHÊNE 'QUERCUS SPP.' OU DE HÊTRE 'FAGUS SPP.', BOIS TROPICAUX VISÉS À LA NOTE 1 DE SOUS-POSITION DU PRÉSENT CHAPITRE, BOIS SIMPL. DÉGROSSIS OU ARRONDIS POUR CANNES, </t>
  </si>
  <si>
    <t>=t("   Bois tropicaux visés à la note 1 de sous-position du présent chapitre, sciés ou dédossés longitudinalement, tranchés ou déroulés, même rabotés, poncés ou collés par assemblage en bout, d'une épaisseur &gt; 6 mm (sauf virola, mahogany 'Swietenia spp.',</t>
  </si>
  <si>
    <t>=t("   Bois sciés ou dédossés longitudinalement, tranchés ou déroulés, d'une épaisseur &gt; 6 mm, même rabotés, poncés ou collés par assemblage en bout (à l'excl. des bois tropicaux visés à la note 1 de sous-position du présent chapitre ainsi que des bois de</t>
  </si>
  <si>
    <t xml:space="preserve">=t("   BOIS, Y.C. LES LAMES ET FRISES POUR PARQUETS, NON-ASSEMBLÉES, PROFILÉS "LANGUETÉS, RAINÉS, BOUVETÉS, FEUILLURÉS, CHANFREINÉS, JOINTS EN V, MOULURÉS, ARRONDIS OU SIMIL." TOUT AU LONG D'UNE OU DE PLUSIEURS RIVES, FACES OU BOUTS, MÊME RABOTÉS, PONCÉS </t>
  </si>
  <si>
    <t>=t("   Bois contre-plaqués constitués exclusivement de feuilles de bois dont chacune a une épaisseur &lt;= 6 mm (à l'excl. des bois contre-plaqués du n° 4412.13 et 4412.14, des panneaux en bois dits 'densifiés', des panneaux cellulaires en bois, des bois mar</t>
  </si>
  <si>
    <t>=t("   Articles en bois pour la table ou la cuisine (à l'excl. des articles d'ameublement, des objets d'ornement, des ouvrages de tonnellerie, des parties d'articles en bois pour la table ou la cuisine, des balais, des brosses ainsi que des tamis et cribl</t>
  </si>
  <si>
    <t>=t("   Papiers et cartons, des types utilisés pour écriture, impression ou autres fins graphiques, dont &gt; 10% en poids de la composition fibreuse totale sont constitués par des fibres obtenues par un procédé mécanique ou chimico-mécanique,  couché au kaol</t>
  </si>
  <si>
    <t>=t("   TIMBRES-POSTE, TIMBRES FISCAUX ET ANALOGUES, NON-OBLITÉRÉS, AYANT COURS OU DESTINÉS À AVOIR COURS DANS LE PAYS DANS LEQUEL ILS ONT,  OU AURONT, UNE VALEUR FACIALE RECONNUE; PAPIER TIMBRÉ; BILLETS DE BANQUE; CHÈQUES; TITRES D'ACTIONS OU D'OBLIGATION</t>
  </si>
  <si>
    <t xml:space="preserve">=t("   Fils simples de coton, en fibres non peignées, contenant &gt;= 85% en poids de coton, titrant &gt;= 232,56 décitex mais &lt; 714,29 décitex [&gt; 14 numéros métriques mais &lt;= 43 numéros métriques] (sauf les fils à coudre et les fils conditionnés pour la vente </t>
  </si>
  <si>
    <t>=t("   Fils simples de coton, en fibres peignées, contenant &gt;= 85% en poids de coton, titrant &gt;= 232,56 décitex mais &lt; 714,29 décitex [&gt; 14 numéros métriques mais &lt;= 43 numéros métriques] (sauf les fils à coudre et les fils conditionnés pour la vente au d</t>
  </si>
  <si>
    <t>=t("   Tissus de coton, blanchis, contenant en prédominance, mais &lt; 85% en poids de coton, mélangés principalement ou uniquement avec des fibres synthétiques ou artificielles, d'un poids &lt;= 200 g/m² (à l'excl. des tissus à armure toile ou à armure sergé [</t>
  </si>
  <si>
    <t>=t("   Tissus imprimés, obtenus à partir de fils de filaments synthétiques contenant en prédominance, mais &lt; 85% en poids de ces filaments, y.c. les tissus obtenus à partir des monofilaments du n° 5404 (à l'excl. des tissus mélangés principalement ou uniq</t>
  </si>
  <si>
    <t>=t("   PRODUITS TEXTILES MATELASSÉS EN PIÈCES, CONSTITUÉS D'UNE OU PLUSIEURS COUCHES DE MATIÈRES TEXTILES ASSOCIÉES À UNE MATIÈRE DE REMBOURRAGE PAR PIQ¹RE, CAPITONNAGE OU AUTRE CLOISONNEMENT (À L'EXCL. DES BRODERIES DU N° 5810 AINSI QUE DES ARTICLES DE L</t>
  </si>
  <si>
    <t>=t("   Costumes ou complets, de matières textiles, pour hommes ou garçonnets (autres que laine, poils fins ou fibres synthétiques, autres qu'en bonneterie et sauf survêtements de sport 'trainings', combinaisons et ensembles de ski, maillots, culottes et s</t>
  </si>
  <si>
    <t xml:space="preserve">=t("   Pantalons, y.c. knickers et pantalons simil., salopettes à bretelles, culottes et shorts, de matières textiles, pour femmes ou fillettes (autres que de laine, poils fins, coton, fibres synthétiques ou artificielles, autres qu'en bonneterie et sauf </t>
  </si>
  <si>
    <t>=t("   Chemisiers, blouses, blouses-chemisiers et chemisettes, de matières textiles, pour femmes ou fillettes (autres que de laine, poils fins, coton, fibres synthétiques ou artificielles, soie et déchets de soie, autres qu'en bonneterie et sauf gilets de</t>
  </si>
  <si>
    <t>=t("   Vêtements de tissus, autres qu'en bonneterie, caoutchoutés ou imprégnés, enduits ou recouverts de matière plastique ou d'autres substances, pour hommes ou garçonnets (autres que vêtements des types du n° 6201.11 à 6201.19 [manteaux, cabans, capes e</t>
  </si>
  <si>
    <t>=t("   Vêtements de tissus, autres qu'en bonneterie, caoutchoutés ou imprégnés, enduits ou recouverts de matière plastique ou d'autres substances, pour femmes ou fillettes (autres que vêtements des types du n° 6202.11 à 6202.19 [manteaux, cabans, capes et</t>
  </si>
  <si>
    <t>=t("   Articles de friperie composés de vêtements, accessoires du vêtement, couvertures, linge de maison et articles d'aménagement intérieur, en tous types de matières textiles, y.c. les chaussures et coiffures de tous genres, manifestement usagés et prés</t>
  </si>
  <si>
    <t>=t("   CHAUSSURES À SEMELLES EXTÉRIEURES EN CAOUTCHOUC OU EN MATIÈRE PLASTIQUE ET À DESSUS EN AUTRES MATIÈRES QUE CAOUTCHOUC, MATIÈRE PLASTIQUE, CUIR OU MATIÈRES TEXTILES; CHAUSSURES À SEMELLES EXTÉRIEURES EN CUIR NATUREL OU RECONSTITUÉ ET À DESSUS EN D'A</t>
  </si>
  <si>
    <t>=t("   PIERRES DE TAILLE OU DE CONSTRUCTION, NATURELLES, AUTRES QUE LES PIERRES CALCAIRES, LE GRANIT, L'ARDOISE, DE N'IMPORTE QUELLE FORME, POLIES, DÉCORÉES OU AUTREMENT TRAVAILLÉES (SAUF OUVRAGES DU 6802.10; ARTICLES EN BASALTE FONDU OU EN STÉATITE CÉRAM</t>
  </si>
  <si>
    <t>=t("   Articles pour le service de la table ou de la cuisine en porcelaine (sauf objets d'ornementation; cruchons, cornues et récipients simil. de transport ou d'emballage; moulins à café et moulins à épices avec récipient en céramique et élément de trava</t>
  </si>
  <si>
    <t>=t("   Vaisselle, autres articles de ménage ou d'économie domestique et articles d'hygiène ou de toilette en céramique, autres que la porcelaine (sauf baignoires, bidets, éviers et autres appareils fixes simil.; statuettes et autres objets d'ornementation</t>
  </si>
  <si>
    <t>=t("   VERRE FORMÉ DE FEUILLES CONTRECOLLÉES, DE SÉCURITÉ (AUTRES QUE DES DIMENSIONS ET FORMES PERMETTANT SON EMPLOI DANS LES VÉHICULES AUTOMOBILES, VÉHICULES AÉRIENS, BATEAUX OU AUTRES VÉHICULES ET SAUF VITRAGE ISOLANT À PAROIS MULTIPLES) [01/01/1988-31/</t>
  </si>
  <si>
    <t>=t("   Bonbonnes, bouteilles, flacons, bocaux, pots, emballages tubulaires et autres récipients en verre pour le transport ou l'emballage commercial et bocaux à conserves en verre (sauf ampoules, bouteilles isolantes et récipients dont l'isolation est ass</t>
  </si>
  <si>
    <t xml:space="preserve">=t("   Déchets et débris d'argent, même  de plaqué ou doublé d'argent et autres déchets et débris contenant de l'argent ou des composés de l'argent du type de ceux utilisés principalement pour la récupération des métaux précieux (à l'excl. des cendres et </t>
  </si>
  <si>
    <t>=t("   Ferro-alliages (à l'excl. du ferromanganèse, du ferrosilicium, du ferrosilicomanganèse, du ferrochrome, du ferrosilicochrome, du ferronickel, du ferromolybdène, du ferrotungstène, du ferrosilicotungstène, du ferrotitane, du ferrosilicotitane, du fe</t>
  </si>
  <si>
    <t>=t("   DÉCHETS ET DÉBRIS DE FER OU D'ACIER [FERRAILLES] (SAUF DÉCHETS ET DÉBRIS RADIOACTIFS ET DE PILES, DE BATTERIES DE PILES ET D'ACCUMULATEURS ÉLECTRIQUES; SCORIES, LAITIERS ET AUTRES DÉCHETS DE LA FABRICATION DU FER OU DE L'ACIER; MORCEAUX PROVENANT D</t>
  </si>
  <si>
    <t>=t("   PRODUITS LAMINÉS PLATS, EN FER OU EN ACIERS NON-ALLIÉS, D'UNE LARGEUR &gt;= 600 MM, LAMINÉS À CHAUD OU À FROID, PLAQUÉS OU REVÊTUS (À L'EXCL. DES PRODUITS ÉTAMÉS, PLOMBÉS, ZINGUÉS, PEINTS, VERNIS OU REVÊTUS D'ALUMINIUM, DE MATIÈRES PLASTIQUES OU D'OXY</t>
  </si>
  <si>
    <t>=t("   Réservoirs, foudres, cuves et récipients simil. en fonte, fer ou acier, pour toutes matières (à l'excl. des gaz comprimés ou liquéfiés), d'une contenance &gt; 300 l, sans dispositifs mécaniques ou thermiques, même avec revêtement intérieur ou calorifu</t>
  </si>
  <si>
    <t>=t("   Chaînes et chaînettes en fonte, fer ou acier (sauf chaînes à maillons articulés, antidérapantes, à maillons à étais, à maillons soudés, et leurs parties; chaînes et chaînettes de montres, d'horloges ou de bijouterie; chaînes dentées et à scie; chen</t>
  </si>
  <si>
    <t>=t("   Appareils de cuisson tels que foyers de cuisson, barbecues, grilloirs, réchauds et cuisinières, ainsi que chauffe-plats, à usage domestique, en fonte, fer ou acier, à combustibles gazeux ou à gaz et autres combustibles (à l'excl. des appareils dest</t>
  </si>
  <si>
    <t>=t("   Poêles, chaudières à foyer, foyers de lessiveuses, chaudières avec foyer pour la lessive, braseros et appareils ménagers simil., en fonte, fer ou acier, à combustibles gazeux ou à gaz et autres combustibles (à l'excl. des appareils de cuisson, chau</t>
  </si>
  <si>
    <t>=t("   Articles de ménage ou d'économie domestique et leurs parties, en aciers inoxydables (à l'excl. des bidons, boîtes et récipients simil. du n° 7310; poubelles; pelles, tire-bouchons et autres articles à caractère d'outils; coutellerie et cuillers, lo</t>
  </si>
  <si>
    <t>=t("   Articles de ménage ou d'économie domestique et leurs parties, en fer ou en aciers autres qu'inoxydables, émaillés (à l'excl. de la fonte; des bidons, boîtes et récipients simil. du n° 7310; poubelles; pelles et autres articles à caractère d'outils;</t>
  </si>
  <si>
    <t>=t("   Articles de ménage ou d'économie domestique et leurs parties, en fer ou aciers autres qu'inoxydables (sauf fonte et articles émaillés; bidons, boîtes et récipients simil. du n° 7310; poubelles; pelles, tire-bouchons et autres articles à caractère d</t>
  </si>
  <si>
    <t>=t("   Déchets et débris d'aluminium (sauf scories, mâchefer, etc., produits par la sidérurgie et contenant de l'aluminium récupérable sous forme de silicates, les déchets lingotés et autres formes brutes simil. en déchets ou débris d'aluminium fondus, et</t>
  </si>
  <si>
    <t>=t("   Réservoirs, foudres, cuves et récipients simil. en aluminium, pour toutes matières, à l'excl. des gaz comprimés ou liquéfiés, d'une contenance &gt; 300 l (sans dispositifs mécaniques ou thermiques et à l'excl. des conteneurs spécialement conçus et équ</t>
  </si>
  <si>
    <t>=t("   Articles de ménage, d'économie domestique, et leurs parties, en aluminium (sauf éponges, torchons, gants et articles simil.; bidons, boîtes et récipients simil. du n° 7612; articles ayant le caractère d'outils, cuillers, louches, fourchettes et art</t>
  </si>
  <si>
    <t>=t("   MOTEURS HORS-BORD À ALLUMAGE PAR ÉTINCELLES "MOTEURS À EXPLOSION" POUR LA PROPULSION DE BATEAUX")</t>
  </si>
  <si>
    <t>=t("   MOTEURS À PISTON ALTERNATIF OU ROTATIF, À ALLUMAGE PAR ÉTINCELLES "MOTEURS À EXPLOSION" (AUTRES QUE MOTEURS POUR AÉRONEFS, MOTEURS POUR LA PROPULSION DE BATEAUX ET AUTRES QUE LES MOTEURS À PISTON ALTERNATIF DES TYPES UTILISÉS POUR LA PROPULSION DES</t>
  </si>
  <si>
    <t>=t("   MOTEURS À PISTON, À ALLUMAGE PAR COMPRESSION "MOTEURS DIESEL OU SEMI-DIESEL" (AUTRES QUE MOTEURS DE PROPULSION POUR BATEAUX ET SAUF MOTEURS DES TYPES UTILISÉS POUR LA PROPULSION DES VÉHICULES DU CHAPITRE 87)")</t>
  </si>
  <si>
    <t xml:space="preserve">=t("   Pompes pour liquides à moteur (sauf pompes à dispositif mesureur ou conçues pour en comporter du n° 8413.11 ou 8413.19, pompes à carburant, à huile ou à liquide de refroidissement pour moteurs à allumage par étincelles ou par compression, pompes à </t>
  </si>
  <si>
    <t>=t("   MACHINES ET APPAREILS POUR LE CONDITIONNEMENT DE L'AIR, FORMANT UN SEUL CORPS OU DU TYPE "SPLIT-SYSTEM" [SYSTÈMES À ÉLÉMENTS SÉPARÉS], DU TYPE MURAL OU POUR FENÊTRES"")</t>
  </si>
  <si>
    <t>=t("   Machines et appareils pour le conditionnement de l'air, avec dispositif de réfrigération mais sans soupape d'inversion du cycle thermique (autres que machines et appareils du type de ceux utilisés pour le confort des personnes dans les véhicules au</t>
  </si>
  <si>
    <t>=t("   MEUBLES [COFFRES, ARMOIRES, VITRINES, COMPTOIRS ET SIMIL.] POUR LA CONSERVATION ET L'EXPOSITION DE PRODUITS, INCORPORANT UN ÉQUIPEMENT POUR LA PRODUCTION DU FROID (SAUF RÉFRIGÉRATEURS ET CONGÉLATEURS-CONSERVATEURS COMBINÉS, À PORTES EXTÉRIEURES SÉP</t>
  </si>
  <si>
    <t>=t("   Machines de sondage ou de forage de la terre, des minéraux ou des minerais, autopropulsées (à l'excl. des machines montées sur wagons pour réseaux ferroviaires ou sur châssis d'automobiles ou sur camions, et sauf machines à creuser les tunnels et a</t>
  </si>
  <si>
    <t>=t("   Machines automatiques de traitement de l'information numériques, comportant, sous une même enveloppe, au moins une unité centrale de traitement et, qu'elles soient ou non combinées, une unité d'entrée et une unité de sortie (sauf portatives d'un po</t>
  </si>
  <si>
    <t>=t("   Groupes électrogènes à moteur à piston à allumage par compression "moteurs diesel ou semi-diesel", puissance &lt;= 75 kVA")</t>
  </si>
  <si>
    <t>=t("   GROUPES ÉLECTROGÈNES À MOTEUR À PISTON À ALLUMAGE PAR COMPRESSION "MOTEUR DIESEL OU SEMI-DIESEL", PUISSANCE &gt; 375 KVA")</t>
  </si>
  <si>
    <t>=t("   Machines et appareils électriques pour le soudage, opérant par laser ou autres faisceaux de lumière ou de photons, par ultrasons, par faisceaux d'électrons, par impulsions magnétiques; machines et appareils électriques pour la projection à chaud de</t>
  </si>
  <si>
    <t>=t("   ÉMETTEURS-RÉCEPTEURS POUR LA TÉLÉCOMMUNICATION PAR COURANT PORTEUR OU POUR LA TÉLÉCOMMUNICATION NUMÉRIQUE, POUR LA TÉLÉPHONIE OU LA TÉLÉGRAPHIE PAR FIL (À L'EXCL. DES POSTES TÉLÉPHONIQUES D'USAGERS, DES VISIOPHONES, DES TÉLÉCOPIEURS, DES TÉLÉSCRIPT</t>
  </si>
  <si>
    <t>=t("   Appareils électriques pour la téléphonie ou la télégraphie par fil (autres que postes téléphoniques d'usagers, visiophones, télécopieurs, téléscripteurs, appareils de commutation et émetteur-récepteur pour la télécommunication par courant porteur o</t>
  </si>
  <si>
    <t>=t("   PARTIES RECONNAISSABLES COMME ÉTANT EXCLUSIVEMENT OU PRINCIPALEMENT DESTINÉES AUX APPAREILS ÉMETTEURS-RÉCEPTEURS POUR LA RADIODIFFUSION OU LA TÉLÉVISION, AUX CAMÉRAS DE TÉLÉVISION, AUX APPAREILS PHOTOGRAPHIQUES NUMÉRIQUES, AUX CAMÉSCOPES ET AUX APP</t>
  </si>
  <si>
    <t>=t("   Parties reconnaissables comme étant exclusivement ou principalement destinées aux appareils du n° 8535, 8536 ou 8537, n.d.a. (à l'excl. des tableaux, panneaux, consoles, pupitres, armoires et autres supports pour articles du n° 8537, dépourvus de l</t>
  </si>
  <si>
    <t>=t("   VÉHICULES POUR LE TRANSPORT DE &gt;= 10 PERSONNES, CHAUFFEUR INCLUS, À MOTEUR À PISTON À ALLUMAGE PAR COMPRESSION "MOTEUR DIESEL OU SEMI-DIESEL"")</t>
  </si>
  <si>
    <t>=t("   VOITURES DE TOURISME ET AUTRES VÉHICULES PRINCIPALEMENT CONÇUS POUR LE TRANSPORT DE PERSONNES, Y.C. LES VOITURES DU TYPE 'BREAK' ET LES VOITURES DE COURSE, À MOTEUR À PISTON ALTERNATIF À ALLUMAGE PAR ÉTINCELLES "MOTEUR À EXPLOSION", CYLINDRÉE &gt; 1.0</t>
  </si>
  <si>
    <t>=t("   VOITURES DE TOURISME ET AUTRES VÉHICULES PRINCIPALEMENT CONÇUS POUR LE TRANSPORT DE PERSONNES, Y.C. LES VOITURES DU TYPE 'BREAK' ET LES VOITURES DE COURSE, À MOTEUR À PISTON ALTERNATIF À ALLUMAGE PAR ÉTINCELLES "MOTEUR À EXPLOSION", CYLINDRÉE &gt; 1.5</t>
  </si>
  <si>
    <t>=t("   VOITURES DE TOURISME ET AUTRES VÉHICULES PRINCIPALEMENT CONÇUS POUR LE TRANSPORT DE PERSONNES, Y.C. LES VOITURES DU TYPE 'BREAK' ET LES VOITURES DE COURSE, À MOTEUR À PISTON ALTERNATIF À ALLUMAGE PAR ÉTINCELLES "MOTEUR À EXPLOSION", CYLINDRÉE &gt; 3.0</t>
  </si>
  <si>
    <t>=t("   VOITURES DE TOURISME ET AUTRES VÉHICULES PRINCIPALEMENT CONÇUS POUR LE TRANSPORT DE PERSONNES, Y.C. LES VOITURES DU TYPE 'BREAK' ET LES VOITURES DE COURSE, À MOTEUR À PISTON À ALLUMAGE PAR COMPRESSION "MOTEUR DIESEL OU SEMI-DIESEL", CYLINDRÉE &lt;= 1.</t>
  </si>
  <si>
    <t>=t("   VOITURES DE TOURISME ET AUTRES VÉHICULES PRINCIPALEMENT CONÇUS POUR LE TRANSPORT DE PERSONNES, Y.C. LES VOITURES DU TYPE 'BREAK' ET LES VOITURES DE COURSE, À MOTEUR À PISTON À ALLUMAGE PAR COMPRESSION "MOTEUR DIESEL OU SEMI-DIESEL", CYLINDRÉE &gt; 250</t>
  </si>
  <si>
    <t>=t("   VÉHICULES POUR LE TRANSPORT DE MARCHANDISES, À MOTEUR À PISTON À ALLUMAGE PAR COMPRESSION "MOTEUR DIESEL OU SEMI-DIESEL", POIDS EN CHARGE MAXIMAL &lt;= 5 T (SAUF TOMBEREAUX AUTOMOTEURS DU N° 8704 ET VÉHICULES AUTOMOBILES À USAGES SPÉCIAUX DU N° 8705)"</t>
  </si>
  <si>
    <t>=t("   VÉHICULES POUR LE TRANSPORT DE MARCHANDISES, À MOTEUR À PISTON À ALLUMAGE PAR COMPRESSION "MOTEUR DIESEL OU SEMI-DIESEL", POIDS EN CHARGE MAXIMAL &gt; 5 T MAIS &lt;= 20 T (SAUF TOMBEREAUX AUTOMOTEURS DU N° 8704.10, VÉHICULES AUTOMOBILES À USAGES SPÉCIAUX</t>
  </si>
  <si>
    <t>=t("   VÉHICULES POUR LE TRANSPORT DE MARCHANDISES, À MOTEUR À PISTON À ALLUMAGE PAR COMPRESSION "MOTEUR DIESEL OU SEMI-DIESEL", POIDS EN CHARGE MAXIMAL &gt; 20 T (SAUF TOMBEREAUX AUTOMOTEURS DU N° 8704.10, VÉHICULES AUTOMOBILES À USAGES SPÉCIAUX DU N° 8705)</t>
  </si>
  <si>
    <t>=t("   VÉHICULES POUR LE TRANSPORT DE MARCHANDISES, À MOTEUR À PISTON À ALLUMAGE PAR ÉTINCELLES "MOTEUR À EXPLOSION", POIDS EN CHARGE MAXIMAL &lt;= 5 T (SAUF TOMBEREAUX AUTOMOTEURS DU N° 8704.10, VÉHICULES AUTOMOBILES À USAGES SPÉCIAUX DU N° 8705)")</t>
  </si>
  <si>
    <t>=t("   Véhicules automobiles à usages spéciaux (autres que ceux principalement conçus pour le transport de personnes ou de marchandises et sauf camions-béonnières, voitures de lutte contre l'incendie, derricks automobiles pour le sondage ou le forage, cam</t>
  </si>
  <si>
    <t>=t("   Appareils photographiques, pour pellicules en rouleaux d'une largeur &gt; 35 mm ou pour films plans (autres que les appareils photographiques à développement et tirage instantanés et les appareils photographiques pour usages spéciaux du n° 9006.10, 90</t>
  </si>
  <si>
    <t>=t("   Appareils et matériel pour le développement automatique des pellicules photographiques, des films cinématographiques ou du papier photographique en rouleaux ou pour l'impression automatique des pellicules développées sur des rouleaux de papier phot</t>
  </si>
  <si>
    <t>=t("   JEUX AVEC ÉCRAN, FLIPPERS ET AUTRES AUTRES JEUX FONCTIONNANT PAR L'INTRODUCTION D'UNE PIÈCE DE MONNAIE, D'UN BILLET DE BANQUE, D'UNE CARTE BANCAIRE, D'UN JETON OU PAR D'AUTRES MOYENS DE PAIEMENT (À L'EXCL. DES JEUX DE QUILLES AUTOMATIQUES [P.EX. BO</t>
  </si>
  <si>
    <t>Source: Copyright © 1958 - 2003 European Community, Eurostat. All Rights Reserved. Comext: k0000027.txt  Extracted: 07/10/2014</t>
  </si>
  <si>
    <t>xcl. des dessins du n° 4906 et des articles manufacturés décorés à la main)")</t>
  </si>
  <si>
    <t>AIEMENT (À L'EXCL. DES JEUX DE QUILLES AUTOMATIQUES [P.EX. BOWLINGS]")</t>
  </si>
  <si>
    <t>Table generation of Extraction from Plan "k0000025,mtx"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</si>
</sst>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7"/>
  <sheetViews>
    <sheetView tabSelected="1" topLeftCell="A14" workbookViewId="0">
      <selection activeCell="C14" sqref="C1:D1048576"/>
    </sheetView>
  </sheetViews>
  <sheetFormatPr baseColWidth="10" defaultRowHeight="15" x14ac:dyDescent="0.25"/>
  <sheetData>
    <row r="1" spans="1:4" x14ac:dyDescent="0.25">
      <c r="C1" t="s">
        <v>111</v>
      </c>
    </row>
    <row r="3" spans="1:4" x14ac:dyDescent="0.25">
      <c r="A3" t="s">
        <v>0</v>
      </c>
      <c r="B3" t="str">
        <f>T("07/10/2014")</f>
        <v>07/10/2014</v>
      </c>
    </row>
    <row r="4" spans="1:4" x14ac:dyDescent="0.25">
      <c r="A4" t="s">
        <v>1</v>
      </c>
      <c r="B4" t="str">
        <f>T("00")</f>
        <v>00</v>
      </c>
    </row>
    <row r="5" spans="1:4" x14ac:dyDescent="0.25">
      <c r="A5" t="s">
        <v>2</v>
      </c>
      <c r="B5" t="str">
        <f>T("2010")</f>
        <v>2010</v>
      </c>
    </row>
    <row r="6" spans="1:4" x14ac:dyDescent="0.25">
      <c r="A6" t="s">
        <v>3</v>
      </c>
      <c r="B6" t="str">
        <f>T("ZZ_7Bureaux")</f>
        <v>ZZ_7Bureaux</v>
      </c>
    </row>
    <row r="7" spans="1:4" x14ac:dyDescent="0.25">
      <c r="A7" t="s">
        <v>4</v>
      </c>
      <c r="B7" t="str">
        <f>T("CS")</f>
        <v>CS</v>
      </c>
    </row>
    <row r="8" spans="1:4" x14ac:dyDescent="0.25">
      <c r="A8" t="s">
        <v>5</v>
      </c>
      <c r="B8" t="str">
        <f>T("ET")</f>
        <v>ET</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T("AE")</f>
        <v>AE</v>
      </c>
      <c r="B16" t="str">
        <f>T("Emirats Arabes Unis")</f>
        <v>Emirats Arabes Unis</v>
      </c>
    </row>
    <row r="17" spans="1:4" x14ac:dyDescent="0.25">
      <c r="A17" t="str">
        <f>T("   ZZ_Total_Produit_SH6")</f>
        <v xml:space="preserve">   ZZ_Total_Produit_SH6</v>
      </c>
      <c r="B17" t="str">
        <f>T("   ZZ_Total_Produit_SH6")</f>
        <v xml:space="preserve">   ZZ_Total_Produit_SH6</v>
      </c>
      <c r="C17">
        <v>1792682598</v>
      </c>
      <c r="D17">
        <v>6504355</v>
      </c>
    </row>
    <row r="18" spans="1:4" x14ac:dyDescent="0.25">
      <c r="A18" t="str">
        <f>T("   080131")</f>
        <v xml:space="preserve">   080131</v>
      </c>
      <c r="B18" t="str">
        <f>T("   Noix de cajou, fraîches ou sèches, en coques")</f>
        <v xml:space="preserve">   Noix de cajou, fraîches ou sèches, en coques</v>
      </c>
      <c r="C18">
        <v>548063075</v>
      </c>
      <c r="D18">
        <v>2235895</v>
      </c>
    </row>
    <row r="19" spans="1:4" x14ac:dyDescent="0.25">
      <c r="A19" t="str">
        <f>T("   440320")</f>
        <v xml:space="preserve">   440320</v>
      </c>
      <c r="B19" t="s">
        <v>37</v>
      </c>
      <c r="C19">
        <v>103313250</v>
      </c>
      <c r="D19">
        <v>600000</v>
      </c>
    </row>
    <row r="20" spans="1:4" x14ac:dyDescent="0.25">
      <c r="A20" t="str">
        <f>T("   440399")</f>
        <v xml:space="preserve">   440399</v>
      </c>
      <c r="B20" t="s">
        <v>39</v>
      </c>
      <c r="C20">
        <v>322337340</v>
      </c>
      <c r="D20">
        <v>2165000</v>
      </c>
    </row>
    <row r="21" spans="1:4" x14ac:dyDescent="0.25">
      <c r="A21" t="str">
        <f>T("   440500")</f>
        <v xml:space="preserve">   440500</v>
      </c>
      <c r="B21"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21">
        <v>181831320</v>
      </c>
      <c r="D21">
        <v>780000</v>
      </c>
    </row>
    <row r="22" spans="1:4" x14ac:dyDescent="0.25">
      <c r="A22" t="str">
        <f>T("   440729")</f>
        <v xml:space="preserve">   440729</v>
      </c>
      <c r="B22" t="s">
        <v>40</v>
      </c>
      <c r="C22">
        <v>17711910</v>
      </c>
      <c r="D22">
        <v>100000</v>
      </c>
    </row>
    <row r="23" spans="1:4" x14ac:dyDescent="0.25">
      <c r="A23" t="str">
        <f>T("   720429")</f>
        <v xml:space="preserve">   720429</v>
      </c>
      <c r="B23"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3">
        <v>750000</v>
      </c>
      <c r="D23">
        <v>15000</v>
      </c>
    </row>
    <row r="24" spans="1:4" x14ac:dyDescent="0.25">
      <c r="A24" t="str">
        <f>T("   720430")</f>
        <v xml:space="preserve">   720430</v>
      </c>
      <c r="B24"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24">
        <v>5250000</v>
      </c>
      <c r="D24">
        <v>105000</v>
      </c>
    </row>
    <row r="25" spans="1:4" x14ac:dyDescent="0.25">
      <c r="A25" t="str">
        <f>T("   720449")</f>
        <v xml:space="preserve">   720449</v>
      </c>
      <c r="B25" t="s">
        <v>66</v>
      </c>
      <c r="C25">
        <v>4500000</v>
      </c>
      <c r="D25">
        <v>90000</v>
      </c>
    </row>
    <row r="26" spans="1:4" x14ac:dyDescent="0.25">
      <c r="A26" t="str">
        <f>T("   760200")</f>
        <v xml:space="preserve">   760200</v>
      </c>
      <c r="B26" t="s">
        <v>75</v>
      </c>
      <c r="C26">
        <v>1750000</v>
      </c>
      <c r="D26">
        <v>30000</v>
      </c>
    </row>
    <row r="27" spans="1:4" x14ac:dyDescent="0.25">
      <c r="A27" t="str">
        <f>T("   850213")</f>
        <v xml:space="preserve">   850213</v>
      </c>
      <c r="B27" t="s">
        <v>88</v>
      </c>
      <c r="C27">
        <v>383873784</v>
      </c>
      <c r="D27">
        <v>232800</v>
      </c>
    </row>
    <row r="28" spans="1:4" x14ac:dyDescent="0.25">
      <c r="A28" t="str">
        <f>T("   850300")</f>
        <v xml:space="preserve">   850300</v>
      </c>
      <c r="B2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28">
        <v>125320189</v>
      </c>
      <c r="D28">
        <v>50460</v>
      </c>
    </row>
    <row r="29" spans="1:4" x14ac:dyDescent="0.25">
      <c r="A29" t="str">
        <f>T("   850422")</f>
        <v xml:space="preserve">   850422</v>
      </c>
      <c r="B29" t="str">
        <f>T("   Transformateurs à diélectrique liquide, puissance &gt; 650 kVA mais &lt;= 10.000 kVA")</f>
        <v xml:space="preserve">   Transformateurs à diélectrique liquide, puissance &gt; 650 kVA mais &lt;= 10.000 kVA</v>
      </c>
      <c r="C29">
        <v>95968446</v>
      </c>
      <c r="D29">
        <v>58200</v>
      </c>
    </row>
    <row r="30" spans="1:4" x14ac:dyDescent="0.25">
      <c r="A30" t="str">
        <f>T("   860900")</f>
        <v xml:space="preserve">   860900</v>
      </c>
      <c r="B30"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30">
        <v>2013284</v>
      </c>
      <c r="D30">
        <v>42000</v>
      </c>
    </row>
    <row r="31" spans="1:4" x14ac:dyDescent="0.25">
      <c r="A31" t="str">
        <f>T("AL")</f>
        <v>AL</v>
      </c>
      <c r="B31" t="str">
        <f>T("Albanie")</f>
        <v>Albanie</v>
      </c>
    </row>
    <row r="32" spans="1:4" x14ac:dyDescent="0.25">
      <c r="A32" t="str">
        <f>T("   ZZ_Total_Produit_SH6")</f>
        <v xml:space="preserve">   ZZ_Total_Produit_SH6</v>
      </c>
      <c r="B32" t="str">
        <f>T("   ZZ_Total_Produit_SH6")</f>
        <v xml:space="preserve">   ZZ_Total_Produit_SH6</v>
      </c>
      <c r="C32">
        <v>10046483</v>
      </c>
      <c r="D32">
        <v>6740</v>
      </c>
    </row>
    <row r="33" spans="1:4" x14ac:dyDescent="0.25">
      <c r="A33" t="str">
        <f>T("   870331")</f>
        <v xml:space="preserve">   870331</v>
      </c>
      <c r="B33" t="s">
        <v>98</v>
      </c>
      <c r="C33">
        <v>4096483</v>
      </c>
      <c r="D33">
        <v>1880</v>
      </c>
    </row>
    <row r="34" spans="1:4" x14ac:dyDescent="0.25">
      <c r="A34" t="str">
        <f>T("   870892")</f>
        <v xml:space="preserve">   870892</v>
      </c>
      <c r="B34" t="str">
        <f>T("   SILENCIEUX ET TUYAUX D'ÉCHAPPEMENT AINSI QUE LEURS PARTIES, POUR TRACTEURS, VÉHICULES POUR LE TRANSPORT DE &gt;= 10 PERSONNES, CHAUFFEUR INCLUS, VOITURES DE TOURISME, VÉHICULES POUR LE TRANSPORT DE MARCHANDISES ET VÉHICULES À USAGES SPÉCIAUX, N.D.A.")</f>
        <v xml:space="preserve">   SILENCIEUX ET TUYAUX D'ÉCHAPPEMENT AINSI QUE LEURS PARTIES, POUR TRACTEURS, VÉHICULES POUR LE TRANSPORT DE &gt;= 10 PERSONNES, CHAUFFEUR INCLUS, VOITURES DE TOURISME, VÉHICULES POUR LE TRANSPORT DE MARCHANDISES ET VÉHICULES À USAGES SPÉCIAUX, N.D.A.</v>
      </c>
      <c r="C34">
        <v>3450000</v>
      </c>
      <c r="D34">
        <v>1630</v>
      </c>
    </row>
    <row r="35" spans="1:4" x14ac:dyDescent="0.25">
      <c r="A35" t="str">
        <f>T("   940360")</f>
        <v xml:space="preserve">   940360</v>
      </c>
      <c r="B35" t="str">
        <f>T("   Meubles en bois (autres que pour bureaux, cuisines ou chambres à coucher et autres que sièges)")</f>
        <v xml:space="preserve">   Meubles en bois (autres que pour bureaux, cuisines ou chambres à coucher et autres que sièges)</v>
      </c>
      <c r="C35">
        <v>2500000</v>
      </c>
      <c r="D35">
        <v>3230</v>
      </c>
    </row>
    <row r="36" spans="1:4" x14ac:dyDescent="0.25">
      <c r="A36" t="str">
        <f>T("AR")</f>
        <v>AR</v>
      </c>
      <c r="B36" t="str">
        <f>T("Argentine")</f>
        <v>Argentine</v>
      </c>
    </row>
    <row r="37" spans="1:4" x14ac:dyDescent="0.25">
      <c r="A37" t="str">
        <f>T("   ZZ_Total_Produit_SH6")</f>
        <v xml:space="preserve">   ZZ_Total_Produit_SH6</v>
      </c>
      <c r="B37" t="str">
        <f>T("   ZZ_Total_Produit_SH6")</f>
        <v xml:space="preserve">   ZZ_Total_Produit_SH6</v>
      </c>
      <c r="C37">
        <v>3300000</v>
      </c>
      <c r="D37">
        <v>5330</v>
      </c>
    </row>
    <row r="38" spans="1:4" x14ac:dyDescent="0.25">
      <c r="A38" t="str">
        <f>T("   490199")</f>
        <v xml:space="preserve">   490199</v>
      </c>
      <c r="B3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8">
        <v>400000</v>
      </c>
      <c r="D38">
        <v>400</v>
      </c>
    </row>
    <row r="39" spans="1:4" x14ac:dyDescent="0.25">
      <c r="A39" t="str">
        <f>T("   620590")</f>
        <v xml:space="preserve">   620590</v>
      </c>
      <c r="B3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9">
        <v>550000</v>
      </c>
      <c r="D39">
        <v>800</v>
      </c>
    </row>
    <row r="40" spans="1:4" x14ac:dyDescent="0.25">
      <c r="A40" t="str">
        <f>T("   732394")</f>
        <v xml:space="preserve">   732394</v>
      </c>
      <c r="B40" t="s">
        <v>73</v>
      </c>
      <c r="C40">
        <v>650000</v>
      </c>
      <c r="D40">
        <v>1000</v>
      </c>
    </row>
    <row r="41" spans="1:4" x14ac:dyDescent="0.25">
      <c r="A41" t="str">
        <f>T("   870322")</f>
        <v xml:space="preserve">   870322</v>
      </c>
      <c r="B41" t="s">
        <v>95</v>
      </c>
      <c r="C41">
        <v>800000</v>
      </c>
      <c r="D41">
        <v>1330</v>
      </c>
    </row>
    <row r="42" spans="1:4" x14ac:dyDescent="0.25">
      <c r="A42" t="str">
        <f>T("   940350")</f>
        <v xml:space="preserve">   940350</v>
      </c>
      <c r="B42" t="str">
        <f>T("   Meubles pour chambres à coucher, en bois (sauf sièges)")</f>
        <v xml:space="preserve">   Meubles pour chambres à coucher, en bois (sauf sièges)</v>
      </c>
      <c r="C42">
        <v>900000</v>
      </c>
      <c r="D42">
        <v>1800</v>
      </c>
    </row>
    <row r="43" spans="1:4" x14ac:dyDescent="0.25">
      <c r="A43" t="str">
        <f>T("BD")</f>
        <v>BD</v>
      </c>
      <c r="B43" t="str">
        <f>T("Bangladesh")</f>
        <v>Bangladesh</v>
      </c>
    </row>
    <row r="44" spans="1:4" x14ac:dyDescent="0.25">
      <c r="A44" t="str">
        <f>T("   ZZ_Total_Produit_SH6")</f>
        <v xml:space="preserve">   ZZ_Total_Produit_SH6</v>
      </c>
      <c r="B44" t="str">
        <f>T("   ZZ_Total_Produit_SH6")</f>
        <v xml:space="preserve">   ZZ_Total_Produit_SH6</v>
      </c>
      <c r="C44">
        <v>1433924285</v>
      </c>
      <c r="D44">
        <v>2086217</v>
      </c>
    </row>
    <row r="45" spans="1:4" x14ac:dyDescent="0.25">
      <c r="A45" t="str">
        <f>T("   392321")</f>
        <v xml:space="preserve">   392321</v>
      </c>
      <c r="B45" t="str">
        <f>T("   Sacs, sachets, pochettes et cornets, en polymères de l'éthylène")</f>
        <v xml:space="preserve">   Sacs, sachets, pochettes et cornets, en polymères de l'éthylène</v>
      </c>
      <c r="C45">
        <v>2060539</v>
      </c>
      <c r="D45">
        <v>1773</v>
      </c>
    </row>
    <row r="46" spans="1:4" x14ac:dyDescent="0.25">
      <c r="A46" t="str">
        <f>T("   520100")</f>
        <v xml:space="preserve">   520100</v>
      </c>
      <c r="B46" t="str">
        <f>T("   COTON, NON-CARDÉ NI PEIGNÉ")</f>
        <v xml:space="preserve">   COTON, NON-CARDÉ NI PEIGNÉ</v>
      </c>
      <c r="C46">
        <v>1411845863</v>
      </c>
      <c r="D46">
        <v>1941966</v>
      </c>
    </row>
    <row r="47" spans="1:4" x14ac:dyDescent="0.25">
      <c r="A47" t="str">
        <f>T("   630510")</f>
        <v xml:space="preserve">   630510</v>
      </c>
      <c r="B47" t="str">
        <f>T("   Sacs et sachets d'emballage de jute ou d'autres fibres textiles libériennes du n° 5303")</f>
        <v xml:space="preserve">   Sacs et sachets d'emballage de jute ou d'autres fibres textiles libériennes du n° 5303</v>
      </c>
      <c r="C47">
        <v>7997871</v>
      </c>
      <c r="D47">
        <v>19560</v>
      </c>
    </row>
    <row r="48" spans="1:4" x14ac:dyDescent="0.25">
      <c r="A48" t="str">
        <f>T("   720429")</f>
        <v xml:space="preserve">   720429</v>
      </c>
      <c r="B48"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48">
        <v>5000000</v>
      </c>
      <c r="D48">
        <v>100000</v>
      </c>
    </row>
    <row r="49" spans="1:4" x14ac:dyDescent="0.25">
      <c r="A49" t="str">
        <f>T("   720430")</f>
        <v xml:space="preserve">   720430</v>
      </c>
      <c r="B49"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49">
        <v>500000</v>
      </c>
      <c r="D49">
        <v>10000</v>
      </c>
    </row>
    <row r="50" spans="1:4" x14ac:dyDescent="0.25">
      <c r="A50" t="str">
        <f>T("   721790")</f>
        <v xml:space="preserve">   721790</v>
      </c>
      <c r="B50"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50">
        <v>5054119</v>
      </c>
      <c r="D50">
        <v>10945</v>
      </c>
    </row>
    <row r="51" spans="1:4" x14ac:dyDescent="0.25">
      <c r="A51" t="str">
        <f>T("   732620")</f>
        <v xml:space="preserve">   732620</v>
      </c>
      <c r="B51" t="str">
        <f>T("   Ouvrages en fil de fer ou d'acier, n.d.a.")</f>
        <v xml:space="preserve">   Ouvrages en fil de fer ou d'acier, n.d.a.</v>
      </c>
      <c r="C51">
        <v>1465893</v>
      </c>
      <c r="D51">
        <v>1973</v>
      </c>
    </row>
    <row r="52" spans="1:4" x14ac:dyDescent="0.25">
      <c r="A52" t="str">
        <f>T("BE")</f>
        <v>BE</v>
      </c>
      <c r="B52" t="str">
        <f>T("Belgique")</f>
        <v>Belgique</v>
      </c>
    </row>
    <row r="53" spans="1:4" x14ac:dyDescent="0.25">
      <c r="A53" t="str">
        <f>T("   ZZ_Total_Produit_SH6")</f>
        <v xml:space="preserve">   ZZ_Total_Produit_SH6</v>
      </c>
      <c r="B53" t="str">
        <f>T("   ZZ_Total_Produit_SH6")</f>
        <v xml:space="preserve">   ZZ_Total_Produit_SH6</v>
      </c>
      <c r="C53">
        <v>2426722126</v>
      </c>
      <c r="D53">
        <v>566173</v>
      </c>
    </row>
    <row r="54" spans="1:4" x14ac:dyDescent="0.25">
      <c r="A54" t="str">
        <f>T("   080430")</f>
        <v xml:space="preserve">   080430</v>
      </c>
      <c r="B54" t="str">
        <f>T("   Ananas, frais ou secs")</f>
        <v xml:space="preserve">   Ananas, frais ou secs</v>
      </c>
      <c r="C54">
        <v>7329926</v>
      </c>
      <c r="D54">
        <v>1000</v>
      </c>
    </row>
    <row r="55" spans="1:4" x14ac:dyDescent="0.25">
      <c r="A55" t="str">
        <f>T("   100630")</f>
        <v xml:space="preserve">   100630</v>
      </c>
      <c r="B55" t="str">
        <f>T("   Riz semi-blanchi ou blanchi, même poli ou glacé")</f>
        <v xml:space="preserve">   Riz semi-blanchi ou blanchi, même poli ou glacé</v>
      </c>
      <c r="C55">
        <v>14641027</v>
      </c>
      <c r="D55">
        <v>24000</v>
      </c>
    </row>
    <row r="56" spans="1:4" x14ac:dyDescent="0.25">
      <c r="A56" t="str">
        <f>T("   120710")</f>
        <v xml:space="preserve">   120710</v>
      </c>
      <c r="B56" t="str">
        <f>T("   NOIX ET AMANDES DE PALMISTES")</f>
        <v xml:space="preserve">   NOIX ET AMANDES DE PALMISTES</v>
      </c>
      <c r="C56">
        <v>204377311</v>
      </c>
      <c r="D56">
        <v>1832</v>
      </c>
    </row>
    <row r="57" spans="1:4" x14ac:dyDescent="0.25">
      <c r="A57" t="str">
        <f>T("   420330")</f>
        <v xml:space="preserve">   420330</v>
      </c>
      <c r="B57" t="str">
        <f>T("   Ceintures, ceinturons et baudriers, en cuir naturel ou reconstitué")</f>
        <v xml:space="preserve">   Ceintures, ceinturons et baudriers, en cuir naturel ou reconstitué</v>
      </c>
      <c r="C57">
        <v>12603</v>
      </c>
      <c r="D57">
        <v>840</v>
      </c>
    </row>
    <row r="58" spans="1:4" x14ac:dyDescent="0.25">
      <c r="A58" t="str">
        <f>T("   440399")</f>
        <v xml:space="preserve">   440399</v>
      </c>
      <c r="B58" t="s">
        <v>39</v>
      </c>
      <c r="C58">
        <v>55064</v>
      </c>
      <c r="D58">
        <v>3670</v>
      </c>
    </row>
    <row r="59" spans="1:4" x14ac:dyDescent="0.25">
      <c r="A59" t="str">
        <f>T("   490199")</f>
        <v xml:space="preserve">   490199</v>
      </c>
      <c r="B5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9">
        <v>2200000</v>
      </c>
      <c r="D59">
        <v>2474</v>
      </c>
    </row>
    <row r="60" spans="1:4" x14ac:dyDescent="0.25">
      <c r="A60" t="str">
        <f>T("   620590")</f>
        <v xml:space="preserve">   620590</v>
      </c>
      <c r="B6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0">
        <v>1100000</v>
      </c>
      <c r="D60">
        <v>1300</v>
      </c>
    </row>
    <row r="61" spans="1:4" x14ac:dyDescent="0.25">
      <c r="A61" t="str">
        <f>T("   720430")</f>
        <v xml:space="preserve">   720430</v>
      </c>
      <c r="B61"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61">
        <v>1500000</v>
      </c>
      <c r="D61">
        <v>30000</v>
      </c>
    </row>
    <row r="62" spans="1:4" x14ac:dyDescent="0.25">
      <c r="A62" t="str">
        <f>T("   731589")</f>
        <v xml:space="preserve">   731589</v>
      </c>
      <c r="B62" t="s">
        <v>69</v>
      </c>
      <c r="C62">
        <v>77419</v>
      </c>
      <c r="D62">
        <v>5160</v>
      </c>
    </row>
    <row r="63" spans="1:4" x14ac:dyDescent="0.25">
      <c r="A63" t="str">
        <f>T("   731813")</f>
        <v xml:space="preserve">   731813</v>
      </c>
      <c r="B63" t="str">
        <f>T("   Crochets et pitons à pas de vis en fonte, fer ou acier")</f>
        <v xml:space="preserve">   Crochets et pitons à pas de vis en fonte, fer ou acier</v>
      </c>
      <c r="C63">
        <v>54914</v>
      </c>
      <c r="D63">
        <v>3660</v>
      </c>
    </row>
    <row r="64" spans="1:4" x14ac:dyDescent="0.25">
      <c r="A64" t="str">
        <f>T("   732394")</f>
        <v xml:space="preserve">   732394</v>
      </c>
      <c r="B64" t="s">
        <v>73</v>
      </c>
      <c r="C64">
        <v>1400000</v>
      </c>
      <c r="D64">
        <v>1800</v>
      </c>
    </row>
    <row r="65" spans="1:4" x14ac:dyDescent="0.25">
      <c r="A65" t="str">
        <f>T("   850213")</f>
        <v xml:space="preserve">   850213</v>
      </c>
      <c r="B65" t="s">
        <v>88</v>
      </c>
      <c r="C65">
        <v>1786914204</v>
      </c>
      <c r="D65">
        <v>304000</v>
      </c>
    </row>
    <row r="66" spans="1:4" x14ac:dyDescent="0.25">
      <c r="A66" t="str">
        <f>T("   850300")</f>
        <v xml:space="preserve">   850300</v>
      </c>
      <c r="B66"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66">
        <v>66022306</v>
      </c>
      <c r="D66">
        <v>37000</v>
      </c>
    </row>
    <row r="67" spans="1:4" x14ac:dyDescent="0.25">
      <c r="A67" t="str">
        <f>T("   850422")</f>
        <v xml:space="preserve">   850422</v>
      </c>
      <c r="B67" t="str">
        <f>T("   Transformateurs à diélectrique liquide, puissance &gt; 650 kVA mais &lt;= 10.000 kVA")</f>
        <v xml:space="preserve">   Transformateurs à diélectrique liquide, puissance &gt; 650 kVA mais &lt;= 10.000 kVA</v>
      </c>
      <c r="C67">
        <v>266249098</v>
      </c>
      <c r="D67">
        <v>60000</v>
      </c>
    </row>
    <row r="68" spans="1:4" x14ac:dyDescent="0.25">
      <c r="A68" t="str">
        <f>T("   852812")</f>
        <v xml:space="preserve">   852812</v>
      </c>
      <c r="B6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8">
        <v>2000000</v>
      </c>
      <c r="D68">
        <v>2522</v>
      </c>
    </row>
    <row r="69" spans="1:4" x14ac:dyDescent="0.25">
      <c r="A69" t="str">
        <f>T("   870322")</f>
        <v xml:space="preserve">   870322</v>
      </c>
      <c r="B69" t="s">
        <v>95</v>
      </c>
      <c r="C69">
        <v>1755386</v>
      </c>
      <c r="D69">
        <v>1330</v>
      </c>
    </row>
    <row r="70" spans="1:4" x14ac:dyDescent="0.25">
      <c r="A70" t="str">
        <f>T("   870323")</f>
        <v xml:space="preserve">   870323</v>
      </c>
      <c r="B70" t="s">
        <v>96</v>
      </c>
      <c r="C70">
        <v>11005267</v>
      </c>
      <c r="D70">
        <v>3086</v>
      </c>
    </row>
    <row r="71" spans="1:4" x14ac:dyDescent="0.25">
      <c r="A71" t="str">
        <f>T("   870899")</f>
        <v xml:space="preserve">   870899</v>
      </c>
      <c r="B7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1">
        <v>52108351</v>
      </c>
      <c r="D71">
        <v>72559</v>
      </c>
    </row>
    <row r="72" spans="1:4" x14ac:dyDescent="0.25">
      <c r="A72" t="str">
        <f>T("   902610")</f>
        <v xml:space="preserve">   902610</v>
      </c>
      <c r="B72"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72">
        <v>2119250</v>
      </c>
      <c r="D72">
        <v>900</v>
      </c>
    </row>
    <row r="73" spans="1:4" x14ac:dyDescent="0.25">
      <c r="A73" t="str">
        <f>T("   940350")</f>
        <v xml:space="preserve">   940350</v>
      </c>
      <c r="B73" t="str">
        <f>T("   Meubles pour chambres à coucher, en bois (sauf sièges)")</f>
        <v xml:space="preserve">   Meubles pour chambres à coucher, en bois (sauf sièges)</v>
      </c>
      <c r="C73">
        <v>3400000</v>
      </c>
      <c r="D73">
        <v>5100</v>
      </c>
    </row>
    <row r="74" spans="1:4" x14ac:dyDescent="0.25">
      <c r="A74" t="str">
        <f>T("   940360")</f>
        <v xml:space="preserve">   940360</v>
      </c>
      <c r="B74" t="str">
        <f>T("   Meubles en bois (autres que pour bureaux, cuisines ou chambres à coucher et autres que sièges)")</f>
        <v xml:space="preserve">   Meubles en bois (autres que pour bureaux, cuisines ou chambres à coucher et autres que sièges)</v>
      </c>
      <c r="C74">
        <v>2400000</v>
      </c>
      <c r="D74">
        <v>3940</v>
      </c>
    </row>
    <row r="75" spans="1:4" x14ac:dyDescent="0.25">
      <c r="A75" t="str">
        <f>T("BF")</f>
        <v>BF</v>
      </c>
      <c r="B75" t="str">
        <f>T("Burkina Faso")</f>
        <v>Burkina Faso</v>
      </c>
    </row>
    <row r="76" spans="1:4" x14ac:dyDescent="0.25">
      <c r="A76" t="str">
        <f>T("   ZZ_Total_Produit_SH6")</f>
        <v xml:space="preserve">   ZZ_Total_Produit_SH6</v>
      </c>
      <c r="B76" t="str">
        <f>T("   ZZ_Total_Produit_SH6")</f>
        <v xml:space="preserve">   ZZ_Total_Produit_SH6</v>
      </c>
      <c r="C76">
        <v>824751695</v>
      </c>
      <c r="D76">
        <v>1049615</v>
      </c>
    </row>
    <row r="77" spans="1:4" x14ac:dyDescent="0.25">
      <c r="A77" t="str">
        <f>T("   040310")</f>
        <v xml:space="preserve">   040310</v>
      </c>
      <c r="B77" t="str">
        <f>T("   Yoghourts, même additionnés de sucre ou d'autres édulcorants ou aromatisés ou additionnés de fruits ou de cacao")</f>
        <v xml:space="preserve">   Yoghourts, même additionnés de sucre ou d'autres édulcorants ou aromatisés ou additionnés de fruits ou de cacao</v>
      </c>
      <c r="C77">
        <v>7000000</v>
      </c>
      <c r="D77">
        <v>1800</v>
      </c>
    </row>
    <row r="78" spans="1:4" x14ac:dyDescent="0.25">
      <c r="A78" t="str">
        <f>T("   110100")</f>
        <v xml:space="preserve">   110100</v>
      </c>
      <c r="B78" t="str">
        <f>T("   Farines de froment [blé] ou de méteil")</f>
        <v xml:space="preserve">   Farines de froment [blé] ou de méteil</v>
      </c>
      <c r="C78">
        <v>44800000</v>
      </c>
      <c r="D78">
        <v>280000</v>
      </c>
    </row>
    <row r="79" spans="1:4" x14ac:dyDescent="0.25">
      <c r="A79" t="str">
        <f>T("   200949")</f>
        <v xml:space="preserve">   200949</v>
      </c>
      <c r="B7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9">
        <v>3000000</v>
      </c>
      <c r="D79">
        <v>9500</v>
      </c>
    </row>
    <row r="80" spans="1:4" x14ac:dyDescent="0.25">
      <c r="A80" t="str">
        <f>T("   300590")</f>
        <v xml:space="preserve">   300590</v>
      </c>
      <c r="B80" t="s">
        <v>28</v>
      </c>
      <c r="C80">
        <v>7775000</v>
      </c>
      <c r="D80">
        <v>4325</v>
      </c>
    </row>
    <row r="81" spans="1:4" x14ac:dyDescent="0.25">
      <c r="A81" t="str">
        <f>T("   320890")</f>
        <v xml:space="preserve">   320890</v>
      </c>
      <c r="B81" t="s">
        <v>30</v>
      </c>
      <c r="C81">
        <v>33106902</v>
      </c>
      <c r="D81">
        <v>7170</v>
      </c>
    </row>
    <row r="82" spans="1:4" x14ac:dyDescent="0.25">
      <c r="A82" t="str">
        <f>T("   391721")</f>
        <v xml:space="preserve">   391721</v>
      </c>
      <c r="B82" t="str">
        <f>T("   TUBES ET TUYAUX RIGIDES, EN POLYMÈRES DE L'ÉTHYLÈNE")</f>
        <v xml:space="preserve">   TUBES ET TUYAUX RIGIDES, EN POLYMÈRES DE L'ÉTHYLÈNE</v>
      </c>
      <c r="C82">
        <v>39980600</v>
      </c>
      <c r="D82">
        <v>18748</v>
      </c>
    </row>
    <row r="83" spans="1:4" x14ac:dyDescent="0.25">
      <c r="A83" t="str">
        <f>T("   441219")</f>
        <v xml:space="preserve">   441219</v>
      </c>
      <c r="B83" t="s">
        <v>43</v>
      </c>
      <c r="C83">
        <v>1731250</v>
      </c>
      <c r="D83">
        <v>15325</v>
      </c>
    </row>
    <row r="84" spans="1:4" x14ac:dyDescent="0.25">
      <c r="A84" t="str">
        <f>T("   482020")</f>
        <v xml:space="preserve">   482020</v>
      </c>
      <c r="B84" t="str">
        <f>T("   Cahiers pour l'écriture, en papier ou carton")</f>
        <v xml:space="preserve">   Cahiers pour l'écriture, en papier ou carton</v>
      </c>
      <c r="C84">
        <v>5240000</v>
      </c>
      <c r="D84">
        <v>8560</v>
      </c>
    </row>
    <row r="85" spans="1:4" x14ac:dyDescent="0.25">
      <c r="A85" t="str">
        <f>T("   490700")</f>
        <v xml:space="preserve">   490700</v>
      </c>
      <c r="B85" t="s">
        <v>46</v>
      </c>
      <c r="C85">
        <v>12400000</v>
      </c>
      <c r="D85">
        <v>5777</v>
      </c>
    </row>
    <row r="86" spans="1:4" x14ac:dyDescent="0.25">
      <c r="A86" t="str">
        <f>T("   520812")</f>
        <v xml:space="preserve">   520812</v>
      </c>
      <c r="B86" t="str">
        <f>T("   Tissus de coton, écrus, à armure toile, contenant &gt;= 85% en poids de coton, d'un poids &gt; 100 g/m² mais &lt;= 200 g/m²")</f>
        <v xml:space="preserve">   Tissus de coton, écrus, à armure toile, contenant &gt;= 85% en poids de coton, d'un poids &gt; 100 g/m² mais &lt;= 200 g/m²</v>
      </c>
      <c r="C86">
        <v>127161600</v>
      </c>
      <c r="D86">
        <v>129786</v>
      </c>
    </row>
    <row r="87" spans="1:4" x14ac:dyDescent="0.25">
      <c r="A87" t="str">
        <f>T("   620590")</f>
        <v xml:space="preserve">   620590</v>
      </c>
      <c r="B8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7">
        <v>800000</v>
      </c>
      <c r="D87">
        <v>400</v>
      </c>
    </row>
    <row r="88" spans="1:4" x14ac:dyDescent="0.25">
      <c r="A88" t="str">
        <f>T("   630612")</f>
        <v xml:space="preserve">   630612</v>
      </c>
      <c r="B88"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88">
        <v>48308</v>
      </c>
      <c r="D88">
        <v>3000</v>
      </c>
    </row>
    <row r="89" spans="1:4" x14ac:dyDescent="0.25">
      <c r="A89" t="str">
        <f>T("   720917")</f>
        <v xml:space="preserve">   720917</v>
      </c>
      <c r="B89"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89">
        <v>28934560</v>
      </c>
      <c r="D89">
        <v>80000</v>
      </c>
    </row>
    <row r="90" spans="1:4" x14ac:dyDescent="0.25">
      <c r="A90" t="str">
        <f>T("   721041")</f>
        <v xml:space="preserve">   721041</v>
      </c>
      <c r="B90"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90">
        <v>8460000</v>
      </c>
      <c r="D90">
        <v>20010</v>
      </c>
    </row>
    <row r="91" spans="1:4" x14ac:dyDescent="0.25">
      <c r="A91" t="str">
        <f>T("   721070")</f>
        <v xml:space="preserve">   721070</v>
      </c>
      <c r="B91" t="str">
        <f>T("   PRODUITS LAMINÉS PLATS, EN FER OU EN ACIERS NON-ALLIÉS, D'UNE LARGEUR &gt;= 600 MM, LAMINÉS À CHAUD OU À FROID, PEINTS, VERNIS OU REVÊTUS DE MATIÈRES PLASTIQUES")</f>
        <v xml:space="preserve">   PRODUITS LAMINÉS PLATS, EN FER OU EN ACIERS NON-ALLIÉS, D'UNE LARGEUR &gt;= 600 MM, LAMINÉS À CHAUD OU À FROID, PEINTS, VERNIS OU REVÊTUS DE MATIÈRES PLASTIQUES</v>
      </c>
      <c r="C91">
        <v>2785475</v>
      </c>
      <c r="D91">
        <v>5000</v>
      </c>
    </row>
    <row r="92" spans="1:4" x14ac:dyDescent="0.25">
      <c r="A92" t="str">
        <f>T("   721391")</f>
        <v xml:space="preserve">   721391</v>
      </c>
      <c r="B9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92">
        <v>27716424</v>
      </c>
      <c r="D92">
        <v>101084</v>
      </c>
    </row>
    <row r="93" spans="1:4" x14ac:dyDescent="0.25">
      <c r="A93" t="str">
        <f>T("   732394")</f>
        <v xml:space="preserve">   732394</v>
      </c>
      <c r="B93" t="s">
        <v>73</v>
      </c>
      <c r="C93">
        <v>1391000</v>
      </c>
      <c r="D93">
        <v>1200</v>
      </c>
    </row>
    <row r="94" spans="1:4" x14ac:dyDescent="0.25">
      <c r="A94" t="str">
        <f>T("   760611")</f>
        <v xml:space="preserve">   760611</v>
      </c>
      <c r="B94"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94">
        <v>97058179</v>
      </c>
      <c r="D94">
        <v>80208</v>
      </c>
    </row>
    <row r="95" spans="1:4" x14ac:dyDescent="0.25">
      <c r="A95" t="str">
        <f>T("   820790")</f>
        <v xml:space="preserve">   820790</v>
      </c>
      <c r="B95" t="str">
        <f>T("   Outils interchangeables pour outillage à main, mécanique ou non, ou pour machines-outils, n.d.a.")</f>
        <v xml:space="preserve">   Outils interchangeables pour outillage à main, mécanique ou non, ou pour machines-outils, n.d.a.</v>
      </c>
      <c r="C95">
        <v>1140671</v>
      </c>
      <c r="D95">
        <v>900</v>
      </c>
    </row>
    <row r="96" spans="1:4" x14ac:dyDescent="0.25">
      <c r="A96" t="str">
        <f>T("   841381")</f>
        <v xml:space="preserve">   841381</v>
      </c>
      <c r="B96" t="s">
        <v>81</v>
      </c>
      <c r="C96">
        <v>2000000</v>
      </c>
      <c r="D96">
        <v>520</v>
      </c>
    </row>
    <row r="97" spans="1:4" x14ac:dyDescent="0.25">
      <c r="A97" t="str">
        <f>T("   841382")</f>
        <v xml:space="preserve">   841382</v>
      </c>
      <c r="B97" t="str">
        <f>T("   Elévateurs à liquides (à l'excl. des pompes)")</f>
        <v xml:space="preserve">   Elévateurs à liquides (à l'excl. des pompes)</v>
      </c>
      <c r="C97">
        <v>416000</v>
      </c>
      <c r="D97">
        <v>1000</v>
      </c>
    </row>
    <row r="98" spans="1:4" x14ac:dyDescent="0.25">
      <c r="A98" t="str">
        <f>T("   841440")</f>
        <v xml:space="preserve">   841440</v>
      </c>
      <c r="B98" t="str">
        <f>T("   Compresseurs d'air montés sur châssis à roues et remorquables")</f>
        <v xml:space="preserve">   Compresseurs d'air montés sur châssis à roues et remorquables</v>
      </c>
      <c r="C98">
        <v>3400000</v>
      </c>
      <c r="D98">
        <v>675</v>
      </c>
    </row>
    <row r="99" spans="1:4" x14ac:dyDescent="0.25">
      <c r="A99" t="str">
        <f>T("   842940")</f>
        <v xml:space="preserve">   842940</v>
      </c>
      <c r="B99" t="str">
        <f>T("   Rouleaux compresseurs et autres compacteuses, autopropulsés")</f>
        <v xml:space="preserve">   Rouleaux compresseurs et autres compacteuses, autopropulsés</v>
      </c>
      <c r="C99">
        <v>56467679</v>
      </c>
      <c r="D99">
        <v>55600</v>
      </c>
    </row>
    <row r="100" spans="1:4" x14ac:dyDescent="0.25">
      <c r="A100" t="str">
        <f>T("   842951")</f>
        <v xml:space="preserve">   842951</v>
      </c>
      <c r="B100" t="str">
        <f>T("   Chargeuses et chargeuses-pelleteuses, à chargement frontal, autopropulsées")</f>
        <v xml:space="preserve">   Chargeuses et chargeuses-pelleteuses, à chargement frontal, autopropulsées</v>
      </c>
      <c r="C100">
        <v>60621277</v>
      </c>
      <c r="D100">
        <v>49500</v>
      </c>
    </row>
    <row r="101" spans="1:4" x14ac:dyDescent="0.25">
      <c r="A101" t="str">
        <f>T("   843141")</f>
        <v xml:space="preserve">   843141</v>
      </c>
      <c r="B101" t="str">
        <f>T("   Godets, bennes, bennes-preneuses, pelles, grappins et pinces pour machines et appareils du n° 8426, 8429 ou 8430")</f>
        <v xml:space="preserve">   Godets, bennes, bennes-preneuses, pelles, grappins et pinces pour machines et appareils du n° 8426, 8429 ou 8430</v>
      </c>
      <c r="C101">
        <v>1550000</v>
      </c>
      <c r="D101">
        <v>620</v>
      </c>
    </row>
    <row r="102" spans="1:4" x14ac:dyDescent="0.25">
      <c r="A102" t="str">
        <f>T("   846729")</f>
        <v xml:space="preserve">   846729</v>
      </c>
      <c r="B102" t="str">
        <f>T("   Outils électromécaniques à moteur électrique incorporé, pour emploi à la main (autres que scies et perceuses)")</f>
        <v xml:space="preserve">   Outils électromécaniques à moteur électrique incorporé, pour emploi à la main (autres que scies et perceuses)</v>
      </c>
      <c r="C102">
        <v>750000</v>
      </c>
      <c r="D102">
        <v>400</v>
      </c>
    </row>
    <row r="103" spans="1:4" x14ac:dyDescent="0.25">
      <c r="A103" t="str">
        <f>T("   846781")</f>
        <v xml:space="preserve">   846781</v>
      </c>
      <c r="B103" t="str">
        <f>T("   Tronçonneuses à chaîne pour emploi à la main, à moteur non électrique incorporé")</f>
        <v xml:space="preserve">   Tronçonneuses à chaîne pour emploi à la main, à moteur non électrique incorporé</v>
      </c>
      <c r="C103">
        <v>313234</v>
      </c>
      <c r="D103">
        <v>30</v>
      </c>
    </row>
    <row r="104" spans="1:4" x14ac:dyDescent="0.25">
      <c r="A104" t="str">
        <f>T("   847431")</f>
        <v xml:space="preserve">   847431</v>
      </c>
      <c r="B104"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104">
        <v>240000</v>
      </c>
      <c r="D104">
        <v>600</v>
      </c>
    </row>
    <row r="105" spans="1:4" x14ac:dyDescent="0.25">
      <c r="A105" t="str">
        <f>T("   850211")</f>
        <v xml:space="preserve">   850211</v>
      </c>
      <c r="B105" t="s">
        <v>87</v>
      </c>
      <c r="C105">
        <v>8886563</v>
      </c>
      <c r="D105">
        <v>1844</v>
      </c>
    </row>
    <row r="106" spans="1:4" x14ac:dyDescent="0.25">
      <c r="A106" t="str">
        <f>T("   850212")</f>
        <v xml:space="preserve">   850212</v>
      </c>
      <c r="B106"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106">
        <v>16737500</v>
      </c>
      <c r="D106">
        <v>2270</v>
      </c>
    </row>
    <row r="107" spans="1:4" x14ac:dyDescent="0.25">
      <c r="A107" t="str">
        <f>T("   852910")</f>
        <v xml:space="preserve">   852910</v>
      </c>
      <c r="B107"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07">
        <v>1000000</v>
      </c>
      <c r="D107">
        <v>239</v>
      </c>
    </row>
    <row r="108" spans="1:4" x14ac:dyDescent="0.25">
      <c r="A108" t="str">
        <f>T("   860900")</f>
        <v xml:space="preserve">   860900</v>
      </c>
      <c r="B108"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108">
        <v>933333</v>
      </c>
      <c r="D108">
        <v>2800</v>
      </c>
    </row>
    <row r="109" spans="1:4" x14ac:dyDescent="0.25">
      <c r="A109" t="str">
        <f>T("   870120")</f>
        <v xml:space="preserve">   870120</v>
      </c>
      <c r="B109" t="str">
        <f>T("   Tracteurs routiers pour semi-remorques")</f>
        <v xml:space="preserve">   Tracteurs routiers pour semi-remorques</v>
      </c>
      <c r="C109">
        <v>1113685</v>
      </c>
      <c r="D109">
        <v>11400</v>
      </c>
    </row>
    <row r="110" spans="1:4" x14ac:dyDescent="0.25">
      <c r="A110" t="str">
        <f>T("   870323")</f>
        <v xml:space="preserve">   870323</v>
      </c>
      <c r="B110" t="s">
        <v>96</v>
      </c>
      <c r="C110">
        <v>3293957</v>
      </c>
      <c r="D110">
        <v>1451</v>
      </c>
    </row>
    <row r="111" spans="1:4" x14ac:dyDescent="0.25">
      <c r="A111" t="str">
        <f>T("   870421")</f>
        <v xml:space="preserve">   870421</v>
      </c>
      <c r="B111" t="s">
        <v>100</v>
      </c>
      <c r="C111">
        <v>25431841</v>
      </c>
      <c r="D111">
        <v>11320</v>
      </c>
    </row>
    <row r="112" spans="1:4" x14ac:dyDescent="0.25">
      <c r="A112" t="str">
        <f>T("   870422")</f>
        <v xml:space="preserve">   870422</v>
      </c>
      <c r="B112" t="s">
        <v>101</v>
      </c>
      <c r="C112">
        <v>149333504</v>
      </c>
      <c r="D112">
        <v>97900</v>
      </c>
    </row>
    <row r="113" spans="1:4" x14ac:dyDescent="0.25">
      <c r="A113" t="str">
        <f>T("   870510")</f>
        <v xml:space="preserve">   870510</v>
      </c>
      <c r="B113" t="str">
        <f>T("   Camions-grues (sauf dépanneuses)")</f>
        <v xml:space="preserve">   Camions-grues (sauf dépanneuses)</v>
      </c>
      <c r="C113">
        <v>7920000</v>
      </c>
      <c r="D113">
        <v>450</v>
      </c>
    </row>
    <row r="114" spans="1:4" x14ac:dyDescent="0.25">
      <c r="A114" t="str">
        <f>T("   871200")</f>
        <v xml:space="preserve">   871200</v>
      </c>
      <c r="B114" t="str">
        <f>T("   BICYCLETTES ET AUTRES CYCLES, -Y.C. LES TRIPORTEURS-, SANS MOTEUR")</f>
        <v xml:space="preserve">   BICYCLETTES ET AUTRES CYCLES, -Y.C. LES TRIPORTEURS-, SANS MOTEUR</v>
      </c>
      <c r="C114">
        <v>875000</v>
      </c>
      <c r="D114">
        <v>800</v>
      </c>
    </row>
    <row r="115" spans="1:4" x14ac:dyDescent="0.25">
      <c r="A115" t="str">
        <f>T("   871620")</f>
        <v xml:space="preserve">   871620</v>
      </c>
      <c r="B115" t="str">
        <f>T("   Remorques et semi-remorques autochargeuses ou autodéchargeuses, pour usages agricoles")</f>
        <v xml:space="preserve">   Remorques et semi-remorques autochargeuses ou autodéchargeuses, pour usages agricoles</v>
      </c>
      <c r="C115">
        <v>2408953</v>
      </c>
      <c r="D115">
        <v>17000</v>
      </c>
    </row>
    <row r="116" spans="1:4" x14ac:dyDescent="0.25">
      <c r="A116" t="str">
        <f>T("   871640")</f>
        <v xml:space="preserve">   871640</v>
      </c>
      <c r="B116"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16">
        <v>15000000</v>
      </c>
      <c r="D116">
        <v>12000</v>
      </c>
    </row>
    <row r="117" spans="1:4" x14ac:dyDescent="0.25">
      <c r="A117" t="str">
        <f>T("   940350")</f>
        <v xml:space="preserve">   940350</v>
      </c>
      <c r="B117" t="str">
        <f>T("   Meubles pour chambres à coucher, en bois (sauf sièges)")</f>
        <v xml:space="preserve">   Meubles pour chambres à coucher, en bois (sauf sièges)</v>
      </c>
      <c r="C117">
        <v>1200000</v>
      </c>
      <c r="D117">
        <v>1000</v>
      </c>
    </row>
    <row r="118" spans="1:4" x14ac:dyDescent="0.25">
      <c r="A118" t="str">
        <f>T("   940360")</f>
        <v xml:space="preserve">   940360</v>
      </c>
      <c r="B118" t="str">
        <f>T("   Meubles en bois (autres que pour bureaux, cuisines ou chambres à coucher et autres que sièges)")</f>
        <v xml:space="preserve">   Meubles en bois (autres que pour bureaux, cuisines ou chambres à coucher et autres que sièges)</v>
      </c>
      <c r="C118">
        <v>4350000</v>
      </c>
      <c r="D118">
        <v>3850</v>
      </c>
    </row>
    <row r="119" spans="1:4" x14ac:dyDescent="0.25">
      <c r="A119" t="str">
        <f>T("   940429")</f>
        <v xml:space="preserve">   940429</v>
      </c>
      <c r="B119"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19">
        <v>9562882</v>
      </c>
      <c r="D119">
        <v>3483</v>
      </c>
    </row>
    <row r="120" spans="1:4" x14ac:dyDescent="0.25">
      <c r="A120" t="str">
        <f>T("   940540")</f>
        <v xml:space="preserve">   940540</v>
      </c>
      <c r="B120" t="str">
        <f>T("   Appareils d'éclairage électrique, n.d.a.")</f>
        <v xml:space="preserve">   Appareils d'éclairage électrique, n.d.a.</v>
      </c>
      <c r="C120">
        <v>416318</v>
      </c>
      <c r="D120">
        <v>70</v>
      </c>
    </row>
    <row r="121" spans="1:4" x14ac:dyDescent="0.25">
      <c r="A121" t="str">
        <f>T("BI")</f>
        <v>BI</v>
      </c>
      <c r="B121" t="str">
        <f>T("Burundi")</f>
        <v>Burundi</v>
      </c>
    </row>
    <row r="122" spans="1:4" x14ac:dyDescent="0.25">
      <c r="A122" t="str">
        <f>T("   ZZ_Total_Produit_SH6")</f>
        <v xml:space="preserve">   ZZ_Total_Produit_SH6</v>
      </c>
      <c r="B122" t="str">
        <f>T("   ZZ_Total_Produit_SH6")</f>
        <v xml:space="preserve">   ZZ_Total_Produit_SH6</v>
      </c>
      <c r="C122">
        <v>19017690</v>
      </c>
      <c r="D122">
        <v>3876</v>
      </c>
    </row>
    <row r="123" spans="1:4" x14ac:dyDescent="0.25">
      <c r="A123" t="str">
        <f>T("   621050")</f>
        <v xml:space="preserve">   621050</v>
      </c>
      <c r="B123" t="s">
        <v>56</v>
      </c>
      <c r="C123">
        <v>2068780</v>
      </c>
      <c r="D123">
        <v>560</v>
      </c>
    </row>
    <row r="124" spans="1:4" x14ac:dyDescent="0.25">
      <c r="A124" t="str">
        <f>T("   870323")</f>
        <v xml:space="preserve">   870323</v>
      </c>
      <c r="B124" t="s">
        <v>96</v>
      </c>
      <c r="C124">
        <v>1233205</v>
      </c>
      <c r="D124">
        <v>2366</v>
      </c>
    </row>
    <row r="125" spans="1:4" x14ac:dyDescent="0.25">
      <c r="A125" t="str">
        <f>T("   940360")</f>
        <v xml:space="preserve">   940360</v>
      </c>
      <c r="B125" t="str">
        <f>T("   Meubles en bois (autres que pour bureaux, cuisines ou chambres à coucher et autres que sièges)")</f>
        <v xml:space="preserve">   Meubles en bois (autres que pour bureaux, cuisines ou chambres à coucher et autres que sièges)</v>
      </c>
      <c r="C125">
        <v>15715705</v>
      </c>
      <c r="D125">
        <v>950</v>
      </c>
    </row>
    <row r="126" spans="1:4" x14ac:dyDescent="0.25">
      <c r="A126" t="str">
        <f>T("CA")</f>
        <v>CA</v>
      </c>
      <c r="B126" t="str">
        <f>T("Canada")</f>
        <v>Canada</v>
      </c>
    </row>
    <row r="127" spans="1:4" x14ac:dyDescent="0.25">
      <c r="A127" t="str">
        <f>T("   ZZ_Total_Produit_SH6")</f>
        <v xml:space="preserve">   ZZ_Total_Produit_SH6</v>
      </c>
      <c r="B127" t="str">
        <f>T("   ZZ_Total_Produit_SH6")</f>
        <v xml:space="preserve">   ZZ_Total_Produit_SH6</v>
      </c>
      <c r="C127">
        <v>5084480</v>
      </c>
      <c r="D127">
        <v>4690</v>
      </c>
    </row>
    <row r="128" spans="1:4" x14ac:dyDescent="0.25">
      <c r="A128" t="str">
        <f>T("   490199")</f>
        <v xml:space="preserve">   490199</v>
      </c>
      <c r="B12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28">
        <v>150000</v>
      </c>
      <c r="D128">
        <v>200</v>
      </c>
    </row>
    <row r="129" spans="1:4" x14ac:dyDescent="0.25">
      <c r="A129" t="str">
        <f>T("   620590")</f>
        <v xml:space="preserve">   620590</v>
      </c>
      <c r="B12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29">
        <v>450000</v>
      </c>
      <c r="D129">
        <v>800</v>
      </c>
    </row>
    <row r="130" spans="1:4" x14ac:dyDescent="0.25">
      <c r="A130" t="str">
        <f>T("   732394")</f>
        <v xml:space="preserve">   732394</v>
      </c>
      <c r="B130" t="s">
        <v>73</v>
      </c>
      <c r="C130">
        <v>250000</v>
      </c>
      <c r="D130">
        <v>450</v>
      </c>
    </row>
    <row r="131" spans="1:4" x14ac:dyDescent="0.25">
      <c r="A131" t="str">
        <f>T("   940360")</f>
        <v xml:space="preserve">   940360</v>
      </c>
      <c r="B131" t="str">
        <f>T("   Meubles en bois (autres que pour bureaux, cuisines ou chambres à coucher et autres que sièges)")</f>
        <v xml:space="preserve">   Meubles en bois (autres que pour bureaux, cuisines ou chambres à coucher et autres que sièges)</v>
      </c>
      <c r="C131">
        <v>4234480</v>
      </c>
      <c r="D131">
        <v>3240</v>
      </c>
    </row>
    <row r="132" spans="1:4" x14ac:dyDescent="0.25">
      <c r="A132" t="str">
        <f>T("CD")</f>
        <v>CD</v>
      </c>
      <c r="B132" t="str">
        <f>T("Congo, République Démocratique")</f>
        <v>Congo, République Démocratique</v>
      </c>
    </row>
    <row r="133" spans="1:4" x14ac:dyDescent="0.25">
      <c r="A133" t="str">
        <f>T("   ZZ_Total_Produit_SH6")</f>
        <v xml:space="preserve">   ZZ_Total_Produit_SH6</v>
      </c>
      <c r="B133" t="str">
        <f>T("   ZZ_Total_Produit_SH6")</f>
        <v xml:space="preserve">   ZZ_Total_Produit_SH6</v>
      </c>
      <c r="C133">
        <v>76313532</v>
      </c>
      <c r="D133">
        <v>156763</v>
      </c>
    </row>
    <row r="134" spans="1:4" x14ac:dyDescent="0.25">
      <c r="A134" t="str">
        <f>T("   230400")</f>
        <v xml:space="preserve">   230400</v>
      </c>
      <c r="B134"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34">
        <v>22371967</v>
      </c>
      <c r="D134">
        <v>100815</v>
      </c>
    </row>
    <row r="135" spans="1:4" x14ac:dyDescent="0.25">
      <c r="A135" t="str">
        <f>T("   490199")</f>
        <v xml:space="preserve">   490199</v>
      </c>
      <c r="B13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35">
        <v>200000</v>
      </c>
      <c r="D135">
        <v>200</v>
      </c>
    </row>
    <row r="136" spans="1:4" x14ac:dyDescent="0.25">
      <c r="A136" t="str">
        <f>T("   520852")</f>
        <v xml:space="preserve">   520852</v>
      </c>
      <c r="B136" t="str">
        <f>T("   Tissus de coton, imprimés, à armure toile, contenant &gt;= 85% en poids de coton, d'un poids &gt; 100 g/m² mais &lt;= 200 g/m²")</f>
        <v xml:space="preserve">   Tissus de coton, imprimés, à armure toile, contenant &gt;= 85% en poids de coton, d'un poids &gt; 100 g/m² mais &lt;= 200 g/m²</v>
      </c>
      <c r="C136">
        <v>14596152</v>
      </c>
      <c r="D136">
        <v>20000</v>
      </c>
    </row>
    <row r="137" spans="1:4" x14ac:dyDescent="0.25">
      <c r="A137" t="str">
        <f>T("   620590")</f>
        <v xml:space="preserve">   620590</v>
      </c>
      <c r="B13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37">
        <v>400000</v>
      </c>
      <c r="D137">
        <v>600</v>
      </c>
    </row>
    <row r="138" spans="1:4" x14ac:dyDescent="0.25">
      <c r="A138" t="str">
        <f>T("   732394")</f>
        <v xml:space="preserve">   732394</v>
      </c>
      <c r="B138" t="s">
        <v>73</v>
      </c>
      <c r="C138">
        <v>300000</v>
      </c>
      <c r="D138">
        <v>400</v>
      </c>
    </row>
    <row r="139" spans="1:4" x14ac:dyDescent="0.25">
      <c r="A139" t="str">
        <f>T("   760421")</f>
        <v xml:space="preserve">   760421</v>
      </c>
      <c r="B139" t="str">
        <f>T("   Profilés creux en alliages d'aluminium, n.d.a.")</f>
        <v xml:space="preserve">   Profilés creux en alliages d'aluminium, n.d.a.</v>
      </c>
      <c r="C139">
        <v>28099589</v>
      </c>
      <c r="D139">
        <v>31548</v>
      </c>
    </row>
    <row r="140" spans="1:4" x14ac:dyDescent="0.25">
      <c r="A140" t="str">
        <f>T("   870323")</f>
        <v xml:space="preserve">   870323</v>
      </c>
      <c r="B140" t="s">
        <v>96</v>
      </c>
      <c r="C140">
        <v>9745824</v>
      </c>
      <c r="D140">
        <v>2400</v>
      </c>
    </row>
    <row r="141" spans="1:4" x14ac:dyDescent="0.25">
      <c r="A141" t="str">
        <f>T("   940350")</f>
        <v xml:space="preserve">   940350</v>
      </c>
      <c r="B141" t="str">
        <f>T("   Meubles pour chambres à coucher, en bois (sauf sièges)")</f>
        <v xml:space="preserve">   Meubles pour chambres à coucher, en bois (sauf sièges)</v>
      </c>
      <c r="C141">
        <v>600000</v>
      </c>
      <c r="D141">
        <v>800</v>
      </c>
    </row>
    <row r="142" spans="1:4" x14ac:dyDescent="0.25">
      <c r="A142" t="str">
        <f>T("CF")</f>
        <v>CF</v>
      </c>
      <c r="B142" t="str">
        <f>T("Centrafricaine, République")</f>
        <v>Centrafricaine, République</v>
      </c>
    </row>
    <row r="143" spans="1:4" x14ac:dyDescent="0.25">
      <c r="A143" t="str">
        <f>T("   ZZ_Total_Produit_SH6")</f>
        <v xml:space="preserve">   ZZ_Total_Produit_SH6</v>
      </c>
      <c r="B143" t="str">
        <f>T("   ZZ_Total_Produit_SH6")</f>
        <v xml:space="preserve">   ZZ_Total_Produit_SH6</v>
      </c>
      <c r="C143">
        <v>217578860</v>
      </c>
      <c r="D143">
        <v>61777</v>
      </c>
    </row>
    <row r="144" spans="1:4" x14ac:dyDescent="0.25">
      <c r="A144" t="str">
        <f>T("   620590")</f>
        <v xml:space="preserve">   620590</v>
      </c>
      <c r="B14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44">
        <v>500000</v>
      </c>
      <c r="D144">
        <v>600</v>
      </c>
    </row>
    <row r="145" spans="1:4" x14ac:dyDescent="0.25">
      <c r="A145" t="str">
        <f>T("   732394")</f>
        <v xml:space="preserve">   732394</v>
      </c>
      <c r="B145" t="s">
        <v>73</v>
      </c>
      <c r="C145">
        <v>250000</v>
      </c>
      <c r="D145">
        <v>400</v>
      </c>
    </row>
    <row r="146" spans="1:4" x14ac:dyDescent="0.25">
      <c r="A146" t="str">
        <f>T("   842940")</f>
        <v xml:space="preserve">   842940</v>
      </c>
      <c r="B146" t="str">
        <f>T("   Rouleaux compresseurs et autres compacteuses, autopropulsés")</f>
        <v xml:space="preserve">   Rouleaux compresseurs et autres compacteuses, autopropulsés</v>
      </c>
      <c r="C146">
        <v>122432700</v>
      </c>
      <c r="D146">
        <v>20177</v>
      </c>
    </row>
    <row r="147" spans="1:4" x14ac:dyDescent="0.25">
      <c r="A147" t="str">
        <f>T("   870422")</f>
        <v xml:space="preserve">   870422</v>
      </c>
      <c r="B147" t="s">
        <v>101</v>
      </c>
      <c r="C147">
        <v>93646160</v>
      </c>
      <c r="D147">
        <v>39600</v>
      </c>
    </row>
    <row r="148" spans="1:4" x14ac:dyDescent="0.25">
      <c r="A148" t="str">
        <f>T("   940350")</f>
        <v xml:space="preserve">   940350</v>
      </c>
      <c r="B148" t="str">
        <f>T("   Meubles pour chambres à coucher, en bois (sauf sièges)")</f>
        <v xml:space="preserve">   Meubles pour chambres à coucher, en bois (sauf sièges)</v>
      </c>
      <c r="C148">
        <v>750000</v>
      </c>
      <c r="D148">
        <v>1000</v>
      </c>
    </row>
    <row r="149" spans="1:4" x14ac:dyDescent="0.25">
      <c r="A149" t="str">
        <f>T("CG")</f>
        <v>CG</v>
      </c>
      <c r="B149" t="str">
        <f>T("Congo (Brazzaville)")</f>
        <v>Congo (Brazzaville)</v>
      </c>
    </row>
    <row r="150" spans="1:4" x14ac:dyDescent="0.25">
      <c r="A150" t="str">
        <f>T("   ZZ_Total_Produit_SH6")</f>
        <v xml:space="preserve">   ZZ_Total_Produit_SH6</v>
      </c>
      <c r="B150" t="str">
        <f>T("   ZZ_Total_Produit_SH6")</f>
        <v xml:space="preserve">   ZZ_Total_Produit_SH6</v>
      </c>
      <c r="C150">
        <v>196749105</v>
      </c>
      <c r="D150">
        <v>430687</v>
      </c>
    </row>
    <row r="151" spans="1:4" x14ac:dyDescent="0.25">
      <c r="A151" t="str">
        <f>T("   071490")</f>
        <v xml:space="preserve">   071490</v>
      </c>
      <c r="B151" t="s">
        <v>14</v>
      </c>
      <c r="C151">
        <v>615000</v>
      </c>
      <c r="D151">
        <v>10000</v>
      </c>
    </row>
    <row r="152" spans="1:4" x14ac:dyDescent="0.25">
      <c r="A152" t="str">
        <f>T("   100590")</f>
        <v xml:space="preserve">   100590</v>
      </c>
      <c r="B152" t="str">
        <f>T("   Maïs (autre que de semence)")</f>
        <v xml:space="preserve">   Maïs (autre que de semence)</v>
      </c>
      <c r="C152">
        <v>1000000</v>
      </c>
      <c r="D152">
        <v>4250</v>
      </c>
    </row>
    <row r="153" spans="1:4" x14ac:dyDescent="0.25">
      <c r="A153" t="str">
        <f>T("   110620")</f>
        <v xml:space="preserve">   110620</v>
      </c>
      <c r="B153" t="str">
        <f>T("   Farines, semoules et poudres de sagou ou des racines ou tubercules du n° 0714")</f>
        <v xml:space="preserve">   Farines, semoules et poudres de sagou ou des racines ou tubercules du n° 0714</v>
      </c>
      <c r="C153">
        <v>1435000</v>
      </c>
      <c r="D153">
        <v>8750</v>
      </c>
    </row>
    <row r="154" spans="1:4" x14ac:dyDescent="0.25">
      <c r="A154" t="str">
        <f>T("   230400")</f>
        <v xml:space="preserve">   230400</v>
      </c>
      <c r="B154"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54">
        <v>72368657</v>
      </c>
      <c r="D154">
        <v>343557</v>
      </c>
    </row>
    <row r="155" spans="1:4" x14ac:dyDescent="0.25">
      <c r="A155" t="str">
        <f>T("   300490")</f>
        <v xml:space="preserve">   300490</v>
      </c>
      <c r="B155" t="s">
        <v>27</v>
      </c>
      <c r="C155">
        <v>4276483</v>
      </c>
      <c r="D155">
        <v>440</v>
      </c>
    </row>
    <row r="156" spans="1:4" x14ac:dyDescent="0.25">
      <c r="A156" t="str">
        <f>T("   340119")</f>
        <v xml:space="preserve">   340119</v>
      </c>
      <c r="B156" t="s">
        <v>34</v>
      </c>
      <c r="C156">
        <v>1230000</v>
      </c>
      <c r="D156">
        <v>20000</v>
      </c>
    </row>
    <row r="157" spans="1:4" x14ac:dyDescent="0.25">
      <c r="A157" t="str">
        <f>T("   392510")</f>
        <v xml:space="preserve">   392510</v>
      </c>
      <c r="B157" t="str">
        <f>T("   Réservoirs, foudres, cuves et récipients analogues, en matières plastiques, d'une contenance &gt; 300 l")</f>
        <v xml:space="preserve">   Réservoirs, foudres, cuves et récipients analogues, en matières plastiques, d'une contenance &gt; 300 l</v>
      </c>
      <c r="C157">
        <v>80000</v>
      </c>
      <c r="D157">
        <v>50</v>
      </c>
    </row>
    <row r="158" spans="1:4" x14ac:dyDescent="0.25">
      <c r="A158" t="str">
        <f>T("   401220")</f>
        <v xml:space="preserve">   401220</v>
      </c>
      <c r="B158" t="str">
        <f>T("   Pneumatiques usagés, en caoutchouc")</f>
        <v xml:space="preserve">   Pneumatiques usagés, en caoutchouc</v>
      </c>
      <c r="C158">
        <v>7000000</v>
      </c>
      <c r="D158">
        <v>23000</v>
      </c>
    </row>
    <row r="159" spans="1:4" x14ac:dyDescent="0.25">
      <c r="A159" t="str">
        <f>T("   490199")</f>
        <v xml:space="preserve">   490199</v>
      </c>
      <c r="B15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59">
        <v>200000</v>
      </c>
      <c r="D159">
        <v>300</v>
      </c>
    </row>
    <row r="160" spans="1:4" x14ac:dyDescent="0.25">
      <c r="A160" t="str">
        <f>T("   620590")</f>
        <v xml:space="preserve">   620590</v>
      </c>
      <c r="B16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60">
        <v>400000</v>
      </c>
      <c r="D160">
        <v>800</v>
      </c>
    </row>
    <row r="161" spans="1:4" x14ac:dyDescent="0.25">
      <c r="A161" t="str">
        <f>T("   691110")</f>
        <v xml:space="preserve">   691110</v>
      </c>
      <c r="B161" t="s">
        <v>60</v>
      </c>
      <c r="C161">
        <v>9839400</v>
      </c>
      <c r="D161">
        <v>500</v>
      </c>
    </row>
    <row r="162" spans="1:4" x14ac:dyDescent="0.25">
      <c r="A162" t="str">
        <f>T("   732394")</f>
        <v xml:space="preserve">   732394</v>
      </c>
      <c r="B162" t="s">
        <v>73</v>
      </c>
      <c r="C162">
        <v>600000</v>
      </c>
      <c r="D162">
        <v>1100</v>
      </c>
    </row>
    <row r="163" spans="1:4" x14ac:dyDescent="0.25">
      <c r="A163" t="str">
        <f>T("   841451")</f>
        <v xml:space="preserve">   841451</v>
      </c>
      <c r="B163"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163">
        <v>72000</v>
      </c>
      <c r="D163">
        <v>50</v>
      </c>
    </row>
    <row r="164" spans="1:4" x14ac:dyDescent="0.25">
      <c r="A164" t="str">
        <f>T("   850239")</f>
        <v xml:space="preserve">   850239</v>
      </c>
      <c r="B164" t="str">
        <f>T("   Groupes électrogènes (autres qu'à énergie éolienne et à moteurs à piston)")</f>
        <v xml:space="preserve">   Groupes électrogènes (autres qu'à énergie éolienne et à moteurs à piston)</v>
      </c>
      <c r="C164">
        <v>3200000</v>
      </c>
      <c r="D164">
        <v>2500</v>
      </c>
    </row>
    <row r="165" spans="1:4" x14ac:dyDescent="0.25">
      <c r="A165" t="str">
        <f>T("   870322")</f>
        <v xml:space="preserve">   870322</v>
      </c>
      <c r="B165" t="s">
        <v>95</v>
      </c>
      <c r="C165">
        <v>3798891</v>
      </c>
      <c r="D165">
        <v>2155</v>
      </c>
    </row>
    <row r="166" spans="1:4" x14ac:dyDescent="0.25">
      <c r="A166" t="str">
        <f>T("   870323")</f>
        <v xml:space="preserve">   870323</v>
      </c>
      <c r="B166" t="s">
        <v>96</v>
      </c>
      <c r="C166">
        <v>27137972</v>
      </c>
      <c r="D166">
        <v>3070</v>
      </c>
    </row>
    <row r="167" spans="1:4" x14ac:dyDescent="0.25">
      <c r="A167" t="str">
        <f>T("   871200")</f>
        <v xml:space="preserve">   871200</v>
      </c>
      <c r="B167" t="str">
        <f>T("   BICYCLETTES ET AUTRES CYCLES, -Y.C. LES TRIPORTEURS-, SANS MOTEUR")</f>
        <v xml:space="preserve">   BICYCLETTES ET AUTRES CYCLES, -Y.C. LES TRIPORTEURS-, SANS MOTEUR</v>
      </c>
      <c r="C167">
        <v>145000</v>
      </c>
      <c r="D167">
        <v>100</v>
      </c>
    </row>
    <row r="168" spans="1:4" x14ac:dyDescent="0.25">
      <c r="A168" t="str">
        <f>T("   940350")</f>
        <v xml:space="preserve">   940350</v>
      </c>
      <c r="B168" t="str">
        <f>T("   Meubles pour chambres à coucher, en bois (sauf sièges)")</f>
        <v xml:space="preserve">   Meubles pour chambres à coucher, en bois (sauf sièges)</v>
      </c>
      <c r="C168">
        <v>800000</v>
      </c>
      <c r="D168">
        <v>1800</v>
      </c>
    </row>
    <row r="169" spans="1:4" x14ac:dyDescent="0.25">
      <c r="A169" t="str">
        <f>T("   940360")</f>
        <v xml:space="preserve">   940360</v>
      </c>
      <c r="B169" t="str">
        <f>T("   Meubles en bois (autres que pour bureaux, cuisines ou chambres à coucher et autres que sièges)")</f>
        <v xml:space="preserve">   Meubles en bois (autres que pour bureaux, cuisines ou chambres à coucher et autres que sièges)</v>
      </c>
      <c r="C169">
        <v>42629853</v>
      </c>
      <c r="D169">
        <v>6765</v>
      </c>
    </row>
    <row r="170" spans="1:4" x14ac:dyDescent="0.25">
      <c r="A170" t="str">
        <f>T("   940380")</f>
        <v xml:space="preserve">   940380</v>
      </c>
      <c r="B170" t="str">
        <f>T("   Meubles en rotin, osier, bambou ou autres matières (sauf métal, bois et matières plastiques)")</f>
        <v xml:space="preserve">   Meubles en rotin, osier, bambou ou autres matières (sauf métal, bois et matières plastiques)</v>
      </c>
      <c r="C170">
        <v>19920849</v>
      </c>
      <c r="D170">
        <v>1500</v>
      </c>
    </row>
    <row r="171" spans="1:4" x14ac:dyDescent="0.25">
      <c r="A171" t="str">
        <f>T("CH")</f>
        <v>CH</v>
      </c>
      <c r="B171" t="str">
        <f>T("Suisse")</f>
        <v>Suisse</v>
      </c>
    </row>
    <row r="172" spans="1:4" x14ac:dyDescent="0.25">
      <c r="A172" t="str">
        <f>T("   ZZ_Total_Produit_SH6")</f>
        <v xml:space="preserve">   ZZ_Total_Produit_SH6</v>
      </c>
      <c r="B172" t="str">
        <f>T("   ZZ_Total_Produit_SH6")</f>
        <v xml:space="preserve">   ZZ_Total_Produit_SH6</v>
      </c>
      <c r="C172">
        <v>71305555</v>
      </c>
      <c r="D172">
        <v>496790</v>
      </c>
    </row>
    <row r="173" spans="1:4" x14ac:dyDescent="0.25">
      <c r="A173" t="str">
        <f>T("   080131")</f>
        <v xml:space="preserve">   080131</v>
      </c>
      <c r="B173" t="str">
        <f>T("   Noix de cajou, fraîches ou sèches, en coques")</f>
        <v xml:space="preserve">   Noix de cajou, fraîches ou sèches, en coques</v>
      </c>
      <c r="C173">
        <v>56810000</v>
      </c>
      <c r="D173">
        <v>215790</v>
      </c>
    </row>
    <row r="174" spans="1:4" x14ac:dyDescent="0.25">
      <c r="A174" t="str">
        <f>T("   080430")</f>
        <v xml:space="preserve">   080430</v>
      </c>
      <c r="B174" t="str">
        <f>T("   Ananas, frais ou secs")</f>
        <v xml:space="preserve">   Ananas, frais ou secs</v>
      </c>
      <c r="C174">
        <v>5495555</v>
      </c>
      <c r="D174">
        <v>1000</v>
      </c>
    </row>
    <row r="175" spans="1:4" x14ac:dyDescent="0.25">
      <c r="A175" t="str">
        <f>T("   440729")</f>
        <v xml:space="preserve">   440729</v>
      </c>
      <c r="B175" t="s">
        <v>40</v>
      </c>
      <c r="C175">
        <v>1500000</v>
      </c>
      <c r="D175">
        <v>100000</v>
      </c>
    </row>
    <row r="176" spans="1:4" x14ac:dyDescent="0.25">
      <c r="A176" t="str">
        <f>T("   440799")</f>
        <v xml:space="preserve">   440799</v>
      </c>
      <c r="B176" t="s">
        <v>41</v>
      </c>
      <c r="C176">
        <v>1000000</v>
      </c>
      <c r="D176">
        <v>50000</v>
      </c>
    </row>
    <row r="177" spans="1:4" x14ac:dyDescent="0.25">
      <c r="A177" t="str">
        <f>T("   720449")</f>
        <v xml:space="preserve">   720449</v>
      </c>
      <c r="B177" t="s">
        <v>66</v>
      </c>
      <c r="C177">
        <v>6500000</v>
      </c>
      <c r="D177">
        <v>130000</v>
      </c>
    </row>
    <row r="178" spans="1:4" x14ac:dyDescent="0.25">
      <c r="A178" t="str">
        <f>T("CI")</f>
        <v>CI</v>
      </c>
      <c r="B178" t="str">
        <f>T("Côte d'Ivoire")</f>
        <v>Côte d'Ivoire</v>
      </c>
    </row>
    <row r="179" spans="1:4" x14ac:dyDescent="0.25">
      <c r="A179" t="str">
        <f>T("   ZZ_Total_Produit_SH6")</f>
        <v xml:space="preserve">   ZZ_Total_Produit_SH6</v>
      </c>
      <c r="B179" t="str">
        <f>T("   ZZ_Total_Produit_SH6")</f>
        <v xml:space="preserve">   ZZ_Total_Produit_SH6</v>
      </c>
      <c r="C179">
        <v>1395764079</v>
      </c>
      <c r="D179">
        <v>4404626</v>
      </c>
    </row>
    <row r="180" spans="1:4" x14ac:dyDescent="0.25">
      <c r="A180" t="str">
        <f>T("   230400")</f>
        <v xml:space="preserve">   230400</v>
      </c>
      <c r="B180"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180">
        <v>459066234</v>
      </c>
      <c r="D180">
        <v>2273022</v>
      </c>
    </row>
    <row r="181" spans="1:4" x14ac:dyDescent="0.25">
      <c r="A181" t="str">
        <f>T("   230610")</f>
        <v xml:space="preserve">   230610</v>
      </c>
      <c r="B181"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181">
        <v>216475335</v>
      </c>
      <c r="D181">
        <v>1548635</v>
      </c>
    </row>
    <row r="182" spans="1:4" x14ac:dyDescent="0.25">
      <c r="A182" t="str">
        <f>T("   230649")</f>
        <v xml:space="preserve">   230649</v>
      </c>
      <c r="B182" t="s">
        <v>24</v>
      </c>
      <c r="C182">
        <v>51051333</v>
      </c>
      <c r="D182">
        <v>259423</v>
      </c>
    </row>
    <row r="183" spans="1:4" x14ac:dyDescent="0.25">
      <c r="A183" t="str">
        <f>T("   250810")</f>
        <v xml:space="preserve">   250810</v>
      </c>
      <c r="B183" t="str">
        <f>T("   Bentonite")</f>
        <v xml:space="preserve">   Bentonite</v>
      </c>
      <c r="C183">
        <v>9275902</v>
      </c>
      <c r="D183">
        <v>20625</v>
      </c>
    </row>
    <row r="184" spans="1:4" x14ac:dyDescent="0.25">
      <c r="A184" t="str">
        <f>T("   382490")</f>
        <v xml:space="preserve">   382490</v>
      </c>
      <c r="B184"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84">
        <v>712794</v>
      </c>
      <c r="D184">
        <v>2237</v>
      </c>
    </row>
    <row r="185" spans="1:4" x14ac:dyDescent="0.25">
      <c r="A185" t="str">
        <f>T("   420229")</f>
        <v xml:space="preserve">   420229</v>
      </c>
      <c r="B18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85">
        <v>3125000</v>
      </c>
      <c r="D185">
        <v>832</v>
      </c>
    </row>
    <row r="186" spans="1:4" x14ac:dyDescent="0.25">
      <c r="A186" t="str">
        <f>T("   480419")</f>
        <v xml:space="preserve">   480419</v>
      </c>
      <c r="B186" t="str">
        <f>T("   PAPIERS ET CARTONS POUR COUVERTURE, DITS 'KRAFTLINER', NON-COUCHÉS NI ENDUITS, EN ROULEAUX D'UNE LARGEUR &gt; 36 CM (À L'EXCL. DES PAPIERS ET CARTONS ÉCRUS AINSI QUE DES ARTICLES DU N° 4802 OU 4803)")</f>
        <v xml:space="preserve">   PAPIERS ET CARTONS POUR COUVERTURE, DITS 'KRAFTLINER', NON-COUCHÉS NI ENDUITS, EN ROULEAUX D'UNE LARGEUR &gt; 36 CM (À L'EXCL. DES PAPIERS ET CARTONS ÉCRUS AINSI QUE DES ARTICLES DU N° 4802 OU 4803)</v>
      </c>
      <c r="C186">
        <v>1696419</v>
      </c>
      <c r="D186">
        <v>3000</v>
      </c>
    </row>
    <row r="187" spans="1:4" x14ac:dyDescent="0.25">
      <c r="A187" t="str">
        <f>T("   490199")</f>
        <v xml:space="preserve">   490199</v>
      </c>
      <c r="B18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87">
        <v>200000</v>
      </c>
      <c r="D187">
        <v>300</v>
      </c>
    </row>
    <row r="188" spans="1:4" x14ac:dyDescent="0.25">
      <c r="A188" t="str">
        <f>T("   490700")</f>
        <v xml:space="preserve">   490700</v>
      </c>
      <c r="B188" t="s">
        <v>46</v>
      </c>
      <c r="C188">
        <v>55100000</v>
      </c>
      <c r="D188">
        <v>25641</v>
      </c>
    </row>
    <row r="189" spans="1:4" x14ac:dyDescent="0.25">
      <c r="A189" t="str">
        <f>T("   520812")</f>
        <v xml:space="preserve">   520812</v>
      </c>
      <c r="B189" t="str">
        <f>T("   Tissus de coton, écrus, à armure toile, contenant &gt;= 85% en poids de coton, d'un poids &gt; 100 g/m² mais &lt;= 200 g/m²")</f>
        <v xml:space="preserve">   Tissus de coton, écrus, à armure toile, contenant &gt;= 85% en poids de coton, d'un poids &gt; 100 g/m² mais &lt;= 200 g/m²</v>
      </c>
      <c r="C189">
        <v>382032000</v>
      </c>
      <c r="D189">
        <v>186590</v>
      </c>
    </row>
    <row r="190" spans="1:4" x14ac:dyDescent="0.25">
      <c r="A190" t="str">
        <f>T("   521029")</f>
        <v xml:space="preserve">   521029</v>
      </c>
      <c r="B190" t="s">
        <v>49</v>
      </c>
      <c r="C190">
        <v>71110200</v>
      </c>
      <c r="D190">
        <v>41711</v>
      </c>
    </row>
    <row r="191" spans="1:4" x14ac:dyDescent="0.25">
      <c r="A191" t="str">
        <f>T("   620590")</f>
        <v xml:space="preserve">   620590</v>
      </c>
      <c r="B19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91">
        <v>950000</v>
      </c>
      <c r="D191">
        <v>1300</v>
      </c>
    </row>
    <row r="192" spans="1:4" x14ac:dyDescent="0.25">
      <c r="A192" t="str">
        <f>T("   621040")</f>
        <v xml:space="preserve">   621040</v>
      </c>
      <c r="B192" t="s">
        <v>55</v>
      </c>
      <c r="C192">
        <v>12818612</v>
      </c>
      <c r="D192">
        <v>7000</v>
      </c>
    </row>
    <row r="193" spans="1:4" x14ac:dyDescent="0.25">
      <c r="A193" t="str">
        <f>T("   732394")</f>
        <v xml:space="preserve">   732394</v>
      </c>
      <c r="B193" t="s">
        <v>73</v>
      </c>
      <c r="C193">
        <v>800000</v>
      </c>
      <c r="D193">
        <v>1100</v>
      </c>
    </row>
    <row r="194" spans="1:4" x14ac:dyDescent="0.25">
      <c r="A194" t="str">
        <f>T("   847190")</f>
        <v xml:space="preserve">   847190</v>
      </c>
      <c r="B19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94">
        <v>8001500</v>
      </c>
      <c r="D194">
        <v>1790</v>
      </c>
    </row>
    <row r="195" spans="1:4" x14ac:dyDescent="0.25">
      <c r="A195" t="str">
        <f>T("   850211")</f>
        <v xml:space="preserve">   850211</v>
      </c>
      <c r="B195" t="s">
        <v>87</v>
      </c>
      <c r="C195">
        <v>3000000</v>
      </c>
      <c r="D195">
        <v>730</v>
      </c>
    </row>
    <row r="196" spans="1:4" x14ac:dyDescent="0.25">
      <c r="A196" t="str">
        <f>T("   850239")</f>
        <v xml:space="preserve">   850239</v>
      </c>
      <c r="B196" t="str">
        <f>T("   Groupes électrogènes (autres qu'à énergie éolienne et à moteurs à piston)")</f>
        <v xml:space="preserve">   Groupes électrogènes (autres qu'à énergie éolienne et à moteurs à piston)</v>
      </c>
      <c r="C196">
        <v>86740825</v>
      </c>
      <c r="D196">
        <v>8400</v>
      </c>
    </row>
    <row r="197" spans="1:4" x14ac:dyDescent="0.25">
      <c r="A197" t="str">
        <f>T("   853710")</f>
        <v xml:space="preserve">   853710</v>
      </c>
      <c r="B19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97">
        <v>15266385</v>
      </c>
      <c r="D197">
        <v>1680</v>
      </c>
    </row>
    <row r="198" spans="1:4" x14ac:dyDescent="0.25">
      <c r="A198" t="str">
        <f>T("   900640")</f>
        <v xml:space="preserve">   900640</v>
      </c>
      <c r="B198" t="str">
        <f>T("   Appareils photographiques à développement et tirage instantanés (à l'excl. des appareils photographiques pour usages spéciaux dus n° 9006.10, 9006.20 ou 9006.30)")</f>
        <v xml:space="preserve">   Appareils photographiques à développement et tirage instantanés (à l'excl. des appareils photographiques pour usages spéciaux dus n° 9006.10, 9006.20 ou 9006.30)</v>
      </c>
      <c r="C198">
        <v>2000000</v>
      </c>
      <c r="D198">
        <v>6000</v>
      </c>
    </row>
    <row r="199" spans="1:4" x14ac:dyDescent="0.25">
      <c r="A199" t="str">
        <f>T("   900659")</f>
        <v xml:space="preserve">   900659</v>
      </c>
      <c r="B199" t="s">
        <v>105</v>
      </c>
      <c r="C199">
        <v>2000000</v>
      </c>
      <c r="D199">
        <v>6700</v>
      </c>
    </row>
    <row r="200" spans="1:4" x14ac:dyDescent="0.25">
      <c r="A200" t="str">
        <f>T("   940350")</f>
        <v xml:space="preserve">   940350</v>
      </c>
      <c r="B200" t="str">
        <f>T("   Meubles pour chambres à coucher, en bois (sauf sièges)")</f>
        <v xml:space="preserve">   Meubles pour chambres à coucher, en bois (sauf sièges)</v>
      </c>
      <c r="C200">
        <v>2550000</v>
      </c>
      <c r="D200">
        <v>3300</v>
      </c>
    </row>
    <row r="201" spans="1:4" x14ac:dyDescent="0.25">
      <c r="A201" t="str">
        <f>T("   940360")</f>
        <v xml:space="preserve">   940360</v>
      </c>
      <c r="B201" t="str">
        <f>T("   Meubles en bois (autres que pour bureaux, cuisines ou chambres à coucher et autres que sièges)")</f>
        <v xml:space="preserve">   Meubles en bois (autres que pour bureaux, cuisines ou chambres à coucher et autres que sièges)</v>
      </c>
      <c r="C201">
        <v>7456000</v>
      </c>
      <c r="D201">
        <v>2110</v>
      </c>
    </row>
    <row r="202" spans="1:4" x14ac:dyDescent="0.25">
      <c r="A202" t="str">
        <f>T("   950430")</f>
        <v xml:space="preserve">   950430</v>
      </c>
      <c r="B202" t="s">
        <v>107</v>
      </c>
      <c r="C202">
        <v>4335540</v>
      </c>
      <c r="D202">
        <v>2500</v>
      </c>
    </row>
    <row r="203" spans="1:4" x14ac:dyDescent="0.25">
      <c r="A203" t="str">
        <f>T("CM")</f>
        <v>CM</v>
      </c>
      <c r="B203" t="str">
        <f>T("Cameroun")</f>
        <v>Cameroun</v>
      </c>
    </row>
    <row r="204" spans="1:4" x14ac:dyDescent="0.25">
      <c r="A204" t="str">
        <f>T("   ZZ_Total_Produit_SH6")</f>
        <v xml:space="preserve">   ZZ_Total_Produit_SH6</v>
      </c>
      <c r="B204" t="str">
        <f>T("   ZZ_Total_Produit_SH6")</f>
        <v xml:space="preserve">   ZZ_Total_Produit_SH6</v>
      </c>
      <c r="C204">
        <v>2483950357</v>
      </c>
      <c r="D204">
        <v>3783331.4</v>
      </c>
    </row>
    <row r="205" spans="1:4" x14ac:dyDescent="0.25">
      <c r="A205" t="str">
        <f>T("   230400")</f>
        <v xml:space="preserve">   230400</v>
      </c>
      <c r="B205"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205">
        <v>615864655</v>
      </c>
      <c r="D205">
        <v>3182207</v>
      </c>
    </row>
    <row r="206" spans="1:4" x14ac:dyDescent="0.25">
      <c r="A206" t="str">
        <f>T("   300390")</f>
        <v xml:space="preserve">   300390</v>
      </c>
      <c r="B206" t="s">
        <v>26</v>
      </c>
      <c r="C206">
        <v>848713074</v>
      </c>
      <c r="D206">
        <v>74261</v>
      </c>
    </row>
    <row r="207" spans="1:4" x14ac:dyDescent="0.25">
      <c r="A207" t="str">
        <f>T("   300490")</f>
        <v xml:space="preserve">   300490</v>
      </c>
      <c r="B207" t="s">
        <v>27</v>
      </c>
      <c r="C207">
        <v>15000000</v>
      </c>
      <c r="D207">
        <v>1783.4</v>
      </c>
    </row>
    <row r="208" spans="1:4" x14ac:dyDescent="0.25">
      <c r="A208" t="str">
        <f>T("   520812")</f>
        <v xml:space="preserve">   520812</v>
      </c>
      <c r="B208" t="str">
        <f>T("   Tissus de coton, écrus, à armure toile, contenant &gt;= 85% en poids de coton, d'un poids &gt; 100 g/m² mais &lt;= 200 g/m²")</f>
        <v xml:space="preserve">   Tissus de coton, écrus, à armure toile, contenant &gt;= 85% en poids de coton, d'un poids &gt; 100 g/m² mais &lt;= 200 g/m²</v>
      </c>
      <c r="C208">
        <v>358711920</v>
      </c>
      <c r="D208">
        <v>187680</v>
      </c>
    </row>
    <row r="209" spans="1:4" x14ac:dyDescent="0.25">
      <c r="A209" t="str">
        <f>T("   521211")</f>
        <v xml:space="preserve">   521211</v>
      </c>
      <c r="B209"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209">
        <v>478236360</v>
      </c>
      <c r="D209">
        <v>272320</v>
      </c>
    </row>
    <row r="210" spans="1:4" x14ac:dyDescent="0.25">
      <c r="A210" t="str">
        <f>T("   620590")</f>
        <v xml:space="preserve">   620590</v>
      </c>
      <c r="B21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10">
        <v>400000</v>
      </c>
      <c r="D210">
        <v>100</v>
      </c>
    </row>
    <row r="211" spans="1:4" x14ac:dyDescent="0.25">
      <c r="A211" t="str">
        <f>T("   732394")</f>
        <v xml:space="preserve">   732394</v>
      </c>
      <c r="B211" t="s">
        <v>73</v>
      </c>
      <c r="C211">
        <v>400000</v>
      </c>
      <c r="D211">
        <v>250</v>
      </c>
    </row>
    <row r="212" spans="1:4" x14ac:dyDescent="0.25">
      <c r="A212" t="str">
        <f>T("   841090")</f>
        <v xml:space="preserve">   841090</v>
      </c>
      <c r="B212" t="str">
        <f>T("   Parties de turbines hydrauliques ou de roues hydrauliques, n.d.a., ainsi que les régulateurs pour turbines hydrauliques")</f>
        <v xml:space="preserve">   Parties de turbines hydrauliques ou de roues hydrauliques, n.d.a., ainsi que les régulateurs pour turbines hydrauliques</v>
      </c>
      <c r="C212">
        <v>50000</v>
      </c>
      <c r="D212">
        <v>75</v>
      </c>
    </row>
    <row r="213" spans="1:4" x14ac:dyDescent="0.25">
      <c r="A213" t="str">
        <f>T("   841510")</f>
        <v xml:space="preserve">   841510</v>
      </c>
      <c r="B213" t="s">
        <v>82</v>
      </c>
      <c r="C213">
        <v>300000</v>
      </c>
      <c r="D213">
        <v>450</v>
      </c>
    </row>
    <row r="214" spans="1:4" x14ac:dyDescent="0.25">
      <c r="A214" t="str">
        <f>T("   842920")</f>
        <v xml:space="preserve">   842920</v>
      </c>
      <c r="B214" t="str">
        <f>T("   Niveleuses autopropulsées")</f>
        <v xml:space="preserve">   Niveleuses autopropulsées</v>
      </c>
      <c r="C214">
        <v>121216360</v>
      </c>
      <c r="D214">
        <v>24298</v>
      </c>
    </row>
    <row r="215" spans="1:4" x14ac:dyDescent="0.25">
      <c r="A215" t="str">
        <f>T("   842959")</f>
        <v xml:space="preserve">   842959</v>
      </c>
      <c r="B21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215">
        <v>25000000</v>
      </c>
      <c r="D215">
        <v>21200</v>
      </c>
    </row>
    <row r="216" spans="1:4" x14ac:dyDescent="0.25">
      <c r="A216" t="str">
        <f>T("   847110")</f>
        <v xml:space="preserve">   847110</v>
      </c>
      <c r="B216" t="str">
        <f>T("   Machines automatiques de traitement de l'information, analogiques ou hybrides")</f>
        <v xml:space="preserve">   Machines automatiques de traitement de l'information, analogiques ou hybrides</v>
      </c>
      <c r="C216">
        <v>150000</v>
      </c>
      <c r="D216">
        <v>225</v>
      </c>
    </row>
    <row r="217" spans="1:4" x14ac:dyDescent="0.25">
      <c r="A217" t="str">
        <f>T("   850212")</f>
        <v xml:space="preserve">   850212</v>
      </c>
      <c r="B217"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217">
        <v>380000</v>
      </c>
      <c r="D217">
        <v>125</v>
      </c>
    </row>
    <row r="218" spans="1:4" x14ac:dyDescent="0.25">
      <c r="A218" t="str">
        <f>T("   870322")</f>
        <v xml:space="preserve">   870322</v>
      </c>
      <c r="B218" t="s">
        <v>95</v>
      </c>
      <c r="C218">
        <v>7554669</v>
      </c>
      <c r="D218">
        <v>7142</v>
      </c>
    </row>
    <row r="219" spans="1:4" x14ac:dyDescent="0.25">
      <c r="A219" t="str">
        <f>T("   870323")</f>
        <v xml:space="preserve">   870323</v>
      </c>
      <c r="B219" t="s">
        <v>96</v>
      </c>
      <c r="C219">
        <v>5009386</v>
      </c>
      <c r="D219">
        <v>3875</v>
      </c>
    </row>
    <row r="220" spans="1:4" x14ac:dyDescent="0.25">
      <c r="A220" t="str">
        <f>T("   870324")</f>
        <v xml:space="preserve">   870324</v>
      </c>
      <c r="B220" t="s">
        <v>97</v>
      </c>
      <c r="C220">
        <v>3013933</v>
      </c>
      <c r="D220">
        <v>1240</v>
      </c>
    </row>
    <row r="221" spans="1:4" x14ac:dyDescent="0.25">
      <c r="A221" t="str">
        <f>T("   940350")</f>
        <v xml:space="preserve">   940350</v>
      </c>
      <c r="B221" t="str">
        <f>T("   Meubles pour chambres à coucher, en bois (sauf sièges)")</f>
        <v xml:space="preserve">   Meubles pour chambres à coucher, en bois (sauf sièges)</v>
      </c>
      <c r="C221">
        <v>700000</v>
      </c>
      <c r="D221">
        <v>350</v>
      </c>
    </row>
    <row r="222" spans="1:4" x14ac:dyDescent="0.25">
      <c r="A222" t="str">
        <f>T("   940360")</f>
        <v xml:space="preserve">   940360</v>
      </c>
      <c r="B222" t="str">
        <f>T("   Meubles en bois (autres que pour bureaux, cuisines ou chambres à coucher et autres que sièges)")</f>
        <v xml:space="preserve">   Meubles en bois (autres que pour bureaux, cuisines ou chambres à coucher et autres que sièges)</v>
      </c>
      <c r="C222">
        <v>3250000</v>
      </c>
      <c r="D222">
        <v>5750</v>
      </c>
    </row>
    <row r="223" spans="1:4" x14ac:dyDescent="0.25">
      <c r="A223" t="str">
        <f>T("CN")</f>
        <v>CN</v>
      </c>
      <c r="B223" t="str">
        <f>T("Chine")</f>
        <v>Chine</v>
      </c>
    </row>
    <row r="224" spans="1:4" x14ac:dyDescent="0.25">
      <c r="A224" t="str">
        <f>T("   ZZ_Total_Produit_SH6")</f>
        <v xml:space="preserve">   ZZ_Total_Produit_SH6</v>
      </c>
      <c r="B224" t="str">
        <f>T("   ZZ_Total_Produit_SH6")</f>
        <v xml:space="preserve">   ZZ_Total_Produit_SH6</v>
      </c>
      <c r="C224">
        <v>25889327819</v>
      </c>
      <c r="D224">
        <v>51410172.710000001</v>
      </c>
    </row>
    <row r="225" spans="1:4" x14ac:dyDescent="0.25">
      <c r="A225" t="str">
        <f>T("   080131")</f>
        <v xml:space="preserve">   080131</v>
      </c>
      <c r="B225" t="str">
        <f>T("   Noix de cajou, fraîches ou sèches, en coques")</f>
        <v xml:space="preserve">   Noix de cajou, fraîches ou sèches, en coques</v>
      </c>
      <c r="C225">
        <v>618058009</v>
      </c>
      <c r="D225">
        <v>2164953</v>
      </c>
    </row>
    <row r="226" spans="1:4" x14ac:dyDescent="0.25">
      <c r="A226" t="str">
        <f>T("   080132")</f>
        <v xml:space="preserve">   080132</v>
      </c>
      <c r="B226" t="str">
        <f>T("   Noix de cajou, fraîches ou sèches, sans coques")</f>
        <v xml:space="preserve">   Noix de cajou, fraîches ou sèches, sans coques</v>
      </c>
      <c r="C226">
        <v>41325300</v>
      </c>
      <c r="D226">
        <v>230000</v>
      </c>
    </row>
    <row r="227" spans="1:4" x14ac:dyDescent="0.25">
      <c r="A227" t="str">
        <f>T("   140420")</f>
        <v xml:space="preserve">   140420</v>
      </c>
      <c r="B227" t="str">
        <f>T("   Linters de coton")</f>
        <v xml:space="preserve">   Linters de coton</v>
      </c>
      <c r="C227">
        <v>545906381</v>
      </c>
      <c r="D227">
        <v>1702148</v>
      </c>
    </row>
    <row r="228" spans="1:4" x14ac:dyDescent="0.25">
      <c r="A228" t="str">
        <f>T("   151590")</f>
        <v xml:space="preserve">   151590</v>
      </c>
      <c r="B228" t="s">
        <v>17</v>
      </c>
      <c r="C228">
        <v>71242220</v>
      </c>
      <c r="D228">
        <v>8500.8700000000008</v>
      </c>
    </row>
    <row r="229" spans="1:4" x14ac:dyDescent="0.25">
      <c r="A229" t="str">
        <f>T("   392321")</f>
        <v xml:space="preserve">   392321</v>
      </c>
      <c r="B229" t="str">
        <f>T("   Sacs, sachets, pochettes et cornets, en polymères de l'éthylène")</f>
        <v xml:space="preserve">   Sacs, sachets, pochettes et cornets, en polymères de l'éthylène</v>
      </c>
      <c r="C229">
        <v>66417644</v>
      </c>
      <c r="D229">
        <v>52616</v>
      </c>
    </row>
    <row r="230" spans="1:4" x14ac:dyDescent="0.25">
      <c r="A230" t="str">
        <f>T("   440399")</f>
        <v xml:space="preserve">   440399</v>
      </c>
      <c r="B230" t="s">
        <v>39</v>
      </c>
      <c r="C230">
        <v>14232530</v>
      </c>
      <c r="D230">
        <v>185000</v>
      </c>
    </row>
    <row r="231" spans="1:4" x14ac:dyDescent="0.25">
      <c r="A231" t="str">
        <f>T("   440500")</f>
        <v xml:space="preserve">   440500</v>
      </c>
      <c r="B231"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231">
        <v>36000000</v>
      </c>
      <c r="D231">
        <v>1560000</v>
      </c>
    </row>
    <row r="232" spans="1:4" x14ac:dyDescent="0.25">
      <c r="A232" t="str">
        <f>T("   440729")</f>
        <v xml:space="preserve">   440729</v>
      </c>
      <c r="B232" t="s">
        <v>40</v>
      </c>
      <c r="C232">
        <v>113358000</v>
      </c>
      <c r="D232">
        <v>4484782</v>
      </c>
    </row>
    <row r="233" spans="1:4" x14ac:dyDescent="0.25">
      <c r="A233" t="str">
        <f>T("   440799")</f>
        <v xml:space="preserve">   440799</v>
      </c>
      <c r="B233" t="s">
        <v>41</v>
      </c>
      <c r="C233">
        <v>87100000</v>
      </c>
      <c r="D233">
        <v>1585000</v>
      </c>
    </row>
    <row r="234" spans="1:4" x14ac:dyDescent="0.25">
      <c r="A234" t="str">
        <f>T("   520100")</f>
        <v xml:space="preserve">   520100</v>
      </c>
      <c r="B234" t="str">
        <f>T("   COTON, NON-CARDÉ NI PEIGNÉ")</f>
        <v xml:space="preserve">   COTON, NON-CARDÉ NI PEIGNÉ</v>
      </c>
      <c r="C234">
        <v>23142693406</v>
      </c>
      <c r="D234">
        <v>32096218</v>
      </c>
    </row>
    <row r="235" spans="1:4" x14ac:dyDescent="0.25">
      <c r="A235" t="str">
        <f>T("   520299")</f>
        <v xml:space="preserve">   520299</v>
      </c>
      <c r="B235" t="str">
        <f>T("   Déchets de coton (à l'excl. des déchets de fils et des effilochés)")</f>
        <v xml:space="preserve">   Déchets de coton (à l'excl. des déchets de fils et des effilochés)</v>
      </c>
      <c r="C235">
        <v>169084126</v>
      </c>
      <c r="D235">
        <v>572006</v>
      </c>
    </row>
    <row r="236" spans="1:4" x14ac:dyDescent="0.25">
      <c r="A236" t="str">
        <f>T("   520512")</f>
        <v xml:space="preserve">   520512</v>
      </c>
      <c r="B236" t="s">
        <v>47</v>
      </c>
      <c r="C236">
        <v>473800168</v>
      </c>
      <c r="D236">
        <v>316750</v>
      </c>
    </row>
    <row r="237" spans="1:4" x14ac:dyDescent="0.25">
      <c r="A237" t="str">
        <f>T("   520522")</f>
        <v xml:space="preserve">   520522</v>
      </c>
      <c r="B237" t="s">
        <v>48</v>
      </c>
      <c r="C237">
        <v>43572569</v>
      </c>
      <c r="D237">
        <v>20050</v>
      </c>
    </row>
    <row r="238" spans="1:4" x14ac:dyDescent="0.25">
      <c r="A238" t="str">
        <f>T("   720429")</f>
        <v xml:space="preserve">   720429</v>
      </c>
      <c r="B238"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238">
        <v>103820000</v>
      </c>
      <c r="D238">
        <v>2155000</v>
      </c>
    </row>
    <row r="239" spans="1:4" x14ac:dyDescent="0.25">
      <c r="A239" t="str">
        <f>T("   720430")</f>
        <v xml:space="preserve">   720430</v>
      </c>
      <c r="B239"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239">
        <v>149883775</v>
      </c>
      <c r="D239">
        <v>2931850</v>
      </c>
    </row>
    <row r="240" spans="1:4" x14ac:dyDescent="0.25">
      <c r="A240" t="str">
        <f>T("   720449")</f>
        <v xml:space="preserve">   720449</v>
      </c>
      <c r="B240" t="s">
        <v>66</v>
      </c>
      <c r="C240">
        <v>51492000</v>
      </c>
      <c r="D240">
        <v>1029840</v>
      </c>
    </row>
    <row r="241" spans="1:4" x14ac:dyDescent="0.25">
      <c r="A241" t="str">
        <f>T("   721090")</f>
        <v xml:space="preserve">   721090</v>
      </c>
      <c r="B241" t="s">
        <v>67</v>
      </c>
      <c r="C241">
        <v>500000</v>
      </c>
      <c r="D241">
        <v>10000</v>
      </c>
    </row>
    <row r="242" spans="1:4" x14ac:dyDescent="0.25">
      <c r="A242" t="str">
        <f>T("   721720")</f>
        <v xml:space="preserve">   721720</v>
      </c>
      <c r="B242" t="str">
        <f>T("   FILS EN FER OU EN ACIERS NON-ALLIÉS, ENROULÉS, ZINGUÉS (À L'EXCL. DU FIL MACHINE)")</f>
        <v xml:space="preserve">   FILS EN FER OU EN ACIERS NON-ALLIÉS, ENROULÉS, ZINGUÉS (À L'EXCL. DU FIL MACHINE)</v>
      </c>
      <c r="C242">
        <v>13788446</v>
      </c>
      <c r="D242">
        <v>19701.84</v>
      </c>
    </row>
    <row r="243" spans="1:4" x14ac:dyDescent="0.25">
      <c r="A243" t="str">
        <f>T("   721730")</f>
        <v xml:space="preserve">   721730</v>
      </c>
      <c r="B243"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243">
        <v>47098370</v>
      </c>
      <c r="D243">
        <v>101486</v>
      </c>
    </row>
    <row r="244" spans="1:4" x14ac:dyDescent="0.25">
      <c r="A244" t="str">
        <f>T("   721790")</f>
        <v xml:space="preserve">   721790</v>
      </c>
      <c r="B244"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244">
        <v>38759706</v>
      </c>
      <c r="D244">
        <v>83939</v>
      </c>
    </row>
    <row r="245" spans="1:4" x14ac:dyDescent="0.25">
      <c r="A245" t="str">
        <f>T("   732620")</f>
        <v xml:space="preserve">   732620</v>
      </c>
      <c r="B245" t="str">
        <f>T("   Ouvrages en fil de fer ou d'acier, n.d.a.")</f>
        <v xml:space="preserve">   Ouvrages en fil de fer ou d'acier, n.d.a.</v>
      </c>
      <c r="C245">
        <v>39229750</v>
      </c>
      <c r="D245">
        <v>60967</v>
      </c>
    </row>
    <row r="246" spans="1:4" x14ac:dyDescent="0.25">
      <c r="A246" t="str">
        <f>T("   732690")</f>
        <v xml:space="preserve">   732690</v>
      </c>
      <c r="B246"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46">
        <v>9965859</v>
      </c>
      <c r="D246">
        <v>15865</v>
      </c>
    </row>
    <row r="247" spans="1:4" x14ac:dyDescent="0.25">
      <c r="A247" t="str">
        <f>T("   841381")</f>
        <v xml:space="preserve">   841381</v>
      </c>
      <c r="B247" t="s">
        <v>81</v>
      </c>
      <c r="C247">
        <v>274030</v>
      </c>
      <c r="D247">
        <v>500</v>
      </c>
    </row>
    <row r="248" spans="1:4" x14ac:dyDescent="0.25">
      <c r="A248" t="str">
        <f>T("   843049")</f>
        <v xml:space="preserve">   843049</v>
      </c>
      <c r="B248"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248">
        <v>1394180</v>
      </c>
      <c r="D248">
        <v>2000</v>
      </c>
    </row>
    <row r="249" spans="1:4" x14ac:dyDescent="0.25">
      <c r="A249" t="str">
        <f>T("   843143")</f>
        <v xml:space="preserve">   843143</v>
      </c>
      <c r="B249" t="str">
        <f>T("   Parties de machines de sondage ou de forage du n° 8430.41 ou 8430.49, n.d.a.")</f>
        <v xml:space="preserve">   Parties de machines de sondage ou de forage du n° 8430.41 ou 8430.49, n.d.a.</v>
      </c>
      <c r="C249">
        <v>722090</v>
      </c>
      <c r="D249">
        <v>2000</v>
      </c>
    </row>
    <row r="250" spans="1:4" x14ac:dyDescent="0.25">
      <c r="A250" t="str">
        <f>T("   870422")</f>
        <v xml:space="preserve">   870422</v>
      </c>
      <c r="B250" t="s">
        <v>101</v>
      </c>
      <c r="C250">
        <v>9609260</v>
      </c>
      <c r="D250">
        <v>19000</v>
      </c>
    </row>
    <row r="251" spans="1:4" x14ac:dyDescent="0.25">
      <c r="A251" t="str">
        <f>T("CO")</f>
        <v>CO</v>
      </c>
      <c r="B251" t="str">
        <f>T("Colombie")</f>
        <v>Colombie</v>
      </c>
    </row>
    <row r="252" spans="1:4" x14ac:dyDescent="0.25">
      <c r="A252" t="str">
        <f>T("   ZZ_Total_Produit_SH6")</f>
        <v xml:space="preserve">   ZZ_Total_Produit_SH6</v>
      </c>
      <c r="B252" t="str">
        <f>T("   ZZ_Total_Produit_SH6")</f>
        <v xml:space="preserve">   ZZ_Total_Produit_SH6</v>
      </c>
      <c r="C252">
        <v>6659570</v>
      </c>
      <c r="D252">
        <v>421</v>
      </c>
    </row>
    <row r="253" spans="1:4" x14ac:dyDescent="0.25">
      <c r="A253" t="str">
        <f>T("   120710")</f>
        <v xml:space="preserve">   120710</v>
      </c>
      <c r="B253" t="str">
        <f>T("   NOIX ET AMANDES DE PALMISTES")</f>
        <v xml:space="preserve">   NOIX ET AMANDES DE PALMISTES</v>
      </c>
      <c r="C253">
        <v>6659570</v>
      </c>
      <c r="D253">
        <v>421</v>
      </c>
    </row>
    <row r="254" spans="1:4" x14ac:dyDescent="0.25">
      <c r="A254" t="str">
        <f>T("DE")</f>
        <v>DE</v>
      </c>
      <c r="B254" t="str">
        <f>T("Allemagne")</f>
        <v>Allemagne</v>
      </c>
    </row>
    <row r="255" spans="1:4" x14ac:dyDescent="0.25">
      <c r="A255" t="str">
        <f>T("   ZZ_Total_Produit_SH6")</f>
        <v xml:space="preserve">   ZZ_Total_Produit_SH6</v>
      </c>
      <c r="B255" t="str">
        <f>T("   ZZ_Total_Produit_SH6")</f>
        <v xml:space="preserve">   ZZ_Total_Produit_SH6</v>
      </c>
      <c r="C255">
        <v>238531354</v>
      </c>
      <c r="D255">
        <v>342387.7</v>
      </c>
    </row>
    <row r="256" spans="1:4" x14ac:dyDescent="0.25">
      <c r="A256" t="str">
        <f>T("   091010")</f>
        <v xml:space="preserve">   091010</v>
      </c>
      <c r="B256" t="str">
        <f>T("   Gingembre")</f>
        <v xml:space="preserve">   Gingembre</v>
      </c>
      <c r="C256">
        <v>2275950</v>
      </c>
      <c r="D256">
        <v>15173</v>
      </c>
    </row>
    <row r="257" spans="1:4" x14ac:dyDescent="0.25">
      <c r="A257" t="str">
        <f>T("   200819")</f>
        <v xml:space="preserve">   200819</v>
      </c>
      <c r="B257" t="s">
        <v>19</v>
      </c>
      <c r="C257">
        <v>8267517</v>
      </c>
      <c r="D257">
        <v>16745</v>
      </c>
    </row>
    <row r="258" spans="1:4" x14ac:dyDescent="0.25">
      <c r="A258" t="str">
        <f>T("   392321")</f>
        <v xml:space="preserve">   392321</v>
      </c>
      <c r="B258" t="str">
        <f>T("   Sacs, sachets, pochettes et cornets, en polymères de l'éthylène")</f>
        <v xml:space="preserve">   Sacs, sachets, pochettes et cornets, en polymères de l'éthylène</v>
      </c>
      <c r="C258">
        <v>126466</v>
      </c>
      <c r="D258">
        <v>85</v>
      </c>
    </row>
    <row r="259" spans="1:4" x14ac:dyDescent="0.25">
      <c r="A259" t="str">
        <f>T("   520100")</f>
        <v xml:space="preserve">   520100</v>
      </c>
      <c r="B259" t="str">
        <f>T("   COTON, NON-CARDÉ NI PEIGNÉ")</f>
        <v xml:space="preserve">   COTON, NON-CARDÉ NI PEIGNÉ</v>
      </c>
      <c r="C259">
        <v>153724521</v>
      </c>
      <c r="D259">
        <v>214310</v>
      </c>
    </row>
    <row r="260" spans="1:4" x14ac:dyDescent="0.25">
      <c r="A260" t="str">
        <f>T("   620590")</f>
        <v xml:space="preserve">   620590</v>
      </c>
      <c r="B26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60">
        <v>800000</v>
      </c>
      <c r="D260">
        <v>1100</v>
      </c>
    </row>
    <row r="261" spans="1:4" x14ac:dyDescent="0.25">
      <c r="A261" t="str">
        <f>T("   620690")</f>
        <v xml:space="preserve">   620690</v>
      </c>
      <c r="B261" t="s">
        <v>54</v>
      </c>
      <c r="C261">
        <v>300000</v>
      </c>
      <c r="D261">
        <v>500</v>
      </c>
    </row>
    <row r="262" spans="1:4" x14ac:dyDescent="0.25">
      <c r="A262" t="str">
        <f>T("   720430")</f>
        <v xml:space="preserve">   720430</v>
      </c>
      <c r="B262"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262">
        <v>3000000</v>
      </c>
      <c r="D262">
        <v>60000</v>
      </c>
    </row>
    <row r="263" spans="1:4" x14ac:dyDescent="0.25">
      <c r="A263" t="str">
        <f>T("   720449")</f>
        <v xml:space="preserve">   720449</v>
      </c>
      <c r="B263" t="s">
        <v>66</v>
      </c>
      <c r="C263">
        <v>500000</v>
      </c>
      <c r="D263">
        <v>10000</v>
      </c>
    </row>
    <row r="264" spans="1:4" x14ac:dyDescent="0.25">
      <c r="A264" t="str">
        <f>T("   721790")</f>
        <v xml:space="preserve">   721790</v>
      </c>
      <c r="B264"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264">
        <v>617656</v>
      </c>
      <c r="D264">
        <v>1338</v>
      </c>
    </row>
    <row r="265" spans="1:4" x14ac:dyDescent="0.25">
      <c r="A265" t="str">
        <f>T("   732393")</f>
        <v xml:space="preserve">   732393</v>
      </c>
      <c r="B265" t="s">
        <v>72</v>
      </c>
      <c r="C265">
        <v>300000</v>
      </c>
      <c r="D265">
        <v>800</v>
      </c>
    </row>
    <row r="266" spans="1:4" x14ac:dyDescent="0.25">
      <c r="A266" t="str">
        <f>T("   732394")</f>
        <v xml:space="preserve">   732394</v>
      </c>
      <c r="B266" t="s">
        <v>73</v>
      </c>
      <c r="C266">
        <v>300000</v>
      </c>
      <c r="D266">
        <v>300</v>
      </c>
    </row>
    <row r="267" spans="1:4" x14ac:dyDescent="0.25">
      <c r="A267" t="str">
        <f>T("   732620")</f>
        <v xml:space="preserve">   732620</v>
      </c>
      <c r="B267" t="str">
        <f>T("   Ouvrages en fil de fer ou d'acier, n.d.a.")</f>
        <v xml:space="preserve">   Ouvrages en fil de fer ou d'acier, n.d.a.</v>
      </c>
      <c r="C267">
        <v>130533</v>
      </c>
      <c r="D267">
        <v>153</v>
      </c>
    </row>
    <row r="268" spans="1:4" x14ac:dyDescent="0.25">
      <c r="A268" t="str">
        <f>T("   840890")</f>
        <v xml:space="preserve">   840890</v>
      </c>
      <c r="B268" t="s">
        <v>80</v>
      </c>
      <c r="C268">
        <v>11706262</v>
      </c>
      <c r="D268">
        <v>2062</v>
      </c>
    </row>
    <row r="269" spans="1:4" x14ac:dyDescent="0.25">
      <c r="A269" t="str">
        <f>T("   841381")</f>
        <v xml:space="preserve">   841381</v>
      </c>
      <c r="B269" t="s">
        <v>81</v>
      </c>
      <c r="C269">
        <v>672090</v>
      </c>
      <c r="D269">
        <v>530</v>
      </c>
    </row>
    <row r="270" spans="1:4" x14ac:dyDescent="0.25">
      <c r="A270" t="str">
        <f>T("   848350")</f>
        <v xml:space="preserve">   848350</v>
      </c>
      <c r="B270" t="str">
        <f>T("   Volants et poulies, y.c. les poulies à moufles")</f>
        <v xml:space="preserve">   Volants et poulies, y.c. les poulies à moufles</v>
      </c>
      <c r="C270">
        <v>14174724</v>
      </c>
      <c r="D270">
        <v>980</v>
      </c>
    </row>
    <row r="271" spans="1:4" x14ac:dyDescent="0.25">
      <c r="A271" t="str">
        <f>T("   870892")</f>
        <v xml:space="preserve">   870892</v>
      </c>
      <c r="B271" t="str">
        <f>T("   SILENCIEUX ET TUYAUX D'ÉCHAPPEMENT AINSI QUE LEURS PARTIES, POUR TRACTEURS, VÉHICULES POUR LE TRANSPORT DE &gt;= 10 PERSONNES, CHAUFFEUR INCLUS, VOITURES DE TOURISME, VÉHICULES POUR LE TRANSPORT DE MARCHANDISES ET VÉHICULES À USAGES SPÉCIAUX, N.D.A.")</f>
        <v xml:space="preserve">   SILENCIEUX ET TUYAUX D'ÉCHAPPEMENT AINSI QUE LEURS PARTIES, POUR TRACTEURS, VÉHICULES POUR LE TRANSPORT DE &gt;= 10 PERSONNES, CHAUFFEUR INCLUS, VOITURES DE TOURISME, VÉHICULES POUR LE TRANSPORT DE MARCHANDISES ET VÉHICULES À USAGES SPÉCIAUX, N.D.A.</v>
      </c>
      <c r="C271">
        <v>28850000</v>
      </c>
      <c r="D271">
        <v>10831.7</v>
      </c>
    </row>
    <row r="272" spans="1:4" x14ac:dyDescent="0.25">
      <c r="A272" t="str">
        <f>T("   871140")</f>
        <v xml:space="preserve">   871140</v>
      </c>
      <c r="B272" t="str">
        <f>T("   Motocycles à moteur à piston alternatif, cylindrée &gt; 500 cm³ mais &lt;= 800 cm³")</f>
        <v xml:space="preserve">   Motocycles à moteur à piston alternatif, cylindrée &gt; 500 cm³ mais &lt;= 800 cm³</v>
      </c>
      <c r="C272">
        <v>1311920</v>
      </c>
      <c r="D272">
        <v>215</v>
      </c>
    </row>
    <row r="273" spans="1:4" x14ac:dyDescent="0.25">
      <c r="A273" t="str">
        <f>T("   871419")</f>
        <v xml:space="preserve">   871419</v>
      </c>
      <c r="B273" t="str">
        <f>T("   Parties et accessoires de motocycles, y.c. de cyclomoteurs, n.d.a.")</f>
        <v xml:space="preserve">   Parties et accessoires de motocycles, y.c. de cyclomoteurs, n.d.a.</v>
      </c>
      <c r="C273">
        <v>118073</v>
      </c>
      <c r="D273">
        <v>15</v>
      </c>
    </row>
    <row r="274" spans="1:4" x14ac:dyDescent="0.25">
      <c r="A274" t="str">
        <f>T("   940350")</f>
        <v xml:space="preserve">   940350</v>
      </c>
      <c r="B274" t="str">
        <f>T("   Meubles pour chambres à coucher, en bois (sauf sièges)")</f>
        <v xml:space="preserve">   Meubles pour chambres à coucher, en bois (sauf sièges)</v>
      </c>
      <c r="C274">
        <v>4800000</v>
      </c>
      <c r="D274">
        <v>4900</v>
      </c>
    </row>
    <row r="275" spans="1:4" x14ac:dyDescent="0.25">
      <c r="A275" t="str">
        <f>T("   940360")</f>
        <v xml:space="preserve">   940360</v>
      </c>
      <c r="B275" t="str">
        <f>T("   Meubles en bois (autres que pour bureaux, cuisines ou chambres à coucher et autres que sièges)")</f>
        <v xml:space="preserve">   Meubles en bois (autres que pour bureaux, cuisines ou chambres à coucher et autres que sièges)</v>
      </c>
      <c r="C275">
        <v>4555642</v>
      </c>
      <c r="D275">
        <v>1350</v>
      </c>
    </row>
    <row r="276" spans="1:4" x14ac:dyDescent="0.25">
      <c r="A276" t="str">
        <f>T("   970110")</f>
        <v xml:space="preserve">   970110</v>
      </c>
      <c r="B276"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276">
        <v>1200000</v>
      </c>
      <c r="D276">
        <v>550</v>
      </c>
    </row>
    <row r="277" spans="1:4" x14ac:dyDescent="0.25">
      <c r="A277" t="str">
        <f>T("   970200")</f>
        <v xml:space="preserve">   970200</v>
      </c>
      <c r="B277" t="str">
        <f>T("   Gravures, estampes et lithographies originales")</f>
        <v xml:space="preserve">   Gravures, estampes et lithographies originales</v>
      </c>
      <c r="C277">
        <v>500000</v>
      </c>
      <c r="D277">
        <v>280</v>
      </c>
    </row>
    <row r="278" spans="1:4" x14ac:dyDescent="0.25">
      <c r="A278" t="str">
        <f>T("   970300")</f>
        <v xml:space="preserve">   970300</v>
      </c>
      <c r="B278" t="str">
        <f>T("   Productions originales de l'art statuaire ou de la sculpture, en toutes matières")</f>
        <v xml:space="preserve">   Productions originales de l'art statuaire ou de la sculpture, en toutes matières</v>
      </c>
      <c r="C278">
        <v>300000</v>
      </c>
      <c r="D278">
        <v>170</v>
      </c>
    </row>
    <row r="279" spans="1:4" x14ac:dyDescent="0.25">
      <c r="A279" t="str">
        <f>T("DK")</f>
        <v>DK</v>
      </c>
      <c r="B279" t="str">
        <f>T("Danemark")</f>
        <v>Danemark</v>
      </c>
    </row>
    <row r="280" spans="1:4" x14ac:dyDescent="0.25">
      <c r="A280" t="str">
        <f>T("   ZZ_Total_Produit_SH6")</f>
        <v xml:space="preserve">   ZZ_Total_Produit_SH6</v>
      </c>
      <c r="B280" t="str">
        <f>T("   ZZ_Total_Produit_SH6")</f>
        <v xml:space="preserve">   ZZ_Total_Produit_SH6</v>
      </c>
      <c r="C280">
        <v>3480152918</v>
      </c>
      <c r="D280">
        <v>21195700</v>
      </c>
    </row>
    <row r="281" spans="1:4" x14ac:dyDescent="0.25">
      <c r="A281" t="str">
        <f>T("   080211")</f>
        <v xml:space="preserve">   080211</v>
      </c>
      <c r="B281" t="str">
        <f>T("   Amandes, fraîches ou sèches, en coques")</f>
        <v xml:space="preserve">   Amandes, fraîches ou sèches, en coques</v>
      </c>
      <c r="C281">
        <v>3474652918</v>
      </c>
      <c r="D281">
        <v>21188200</v>
      </c>
    </row>
    <row r="282" spans="1:4" x14ac:dyDescent="0.25">
      <c r="A282" t="str">
        <f>T("   271490")</f>
        <v xml:space="preserve">   271490</v>
      </c>
      <c r="B282" t="str">
        <f>T("   Bitumes et asphaltes, naturels; asphaltites et roches asphaltiques")</f>
        <v xml:space="preserve">   Bitumes et asphaltes, naturels; asphaltites et roches asphaltiques</v>
      </c>
      <c r="C282">
        <v>50000</v>
      </c>
      <c r="D282">
        <v>2600</v>
      </c>
    </row>
    <row r="283" spans="1:4" x14ac:dyDescent="0.25">
      <c r="A283" t="str">
        <f>T("   490199")</f>
        <v xml:space="preserve">   490199</v>
      </c>
      <c r="B28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83">
        <v>300000</v>
      </c>
      <c r="D283">
        <v>200</v>
      </c>
    </row>
    <row r="284" spans="1:4" x14ac:dyDescent="0.25">
      <c r="A284" t="str">
        <f>T("   620590")</f>
        <v xml:space="preserve">   620590</v>
      </c>
      <c r="B28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84">
        <v>1000000</v>
      </c>
      <c r="D284">
        <v>900</v>
      </c>
    </row>
    <row r="285" spans="1:4" x14ac:dyDescent="0.25">
      <c r="A285" t="str">
        <f>T("   732394")</f>
        <v xml:space="preserve">   732394</v>
      </c>
      <c r="B285" t="s">
        <v>73</v>
      </c>
      <c r="C285">
        <v>1100000</v>
      </c>
      <c r="D285">
        <v>700</v>
      </c>
    </row>
    <row r="286" spans="1:4" x14ac:dyDescent="0.25">
      <c r="A286" t="str">
        <f>T("   852390")</f>
        <v xml:space="preserve">   852390</v>
      </c>
      <c r="B286"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286">
        <v>250000</v>
      </c>
      <c r="D286">
        <v>1000</v>
      </c>
    </row>
    <row r="287" spans="1:4" x14ac:dyDescent="0.25">
      <c r="A287" t="str">
        <f>T("   940350")</f>
        <v xml:space="preserve">   940350</v>
      </c>
      <c r="B287" t="str">
        <f>T("   Meubles pour chambres à coucher, en bois (sauf sièges)")</f>
        <v xml:space="preserve">   Meubles pour chambres à coucher, en bois (sauf sièges)</v>
      </c>
      <c r="C287">
        <v>1200000</v>
      </c>
      <c r="D287">
        <v>1000</v>
      </c>
    </row>
    <row r="288" spans="1:4" x14ac:dyDescent="0.25">
      <c r="A288" t="str">
        <f>T("   940360")</f>
        <v xml:space="preserve">   940360</v>
      </c>
      <c r="B288" t="str">
        <f>T("   Meubles en bois (autres que pour bureaux, cuisines ou chambres à coucher et autres que sièges)")</f>
        <v xml:space="preserve">   Meubles en bois (autres que pour bureaux, cuisines ou chambres à coucher et autres que sièges)</v>
      </c>
      <c r="C288">
        <v>1600000</v>
      </c>
      <c r="D288">
        <v>1100</v>
      </c>
    </row>
    <row r="289" spans="1:4" x14ac:dyDescent="0.25">
      <c r="A289" t="str">
        <f>T("DO")</f>
        <v>DO</v>
      </c>
      <c r="B289" t="str">
        <f>T("Dominicaine, République")</f>
        <v>Dominicaine, République</v>
      </c>
    </row>
    <row r="290" spans="1:4" x14ac:dyDescent="0.25">
      <c r="A290" t="str">
        <f>T("   ZZ_Total_Produit_SH6")</f>
        <v xml:space="preserve">   ZZ_Total_Produit_SH6</v>
      </c>
      <c r="B290" t="str">
        <f>T("   ZZ_Total_Produit_SH6")</f>
        <v xml:space="preserve">   ZZ_Total_Produit_SH6</v>
      </c>
      <c r="C290">
        <v>15766450</v>
      </c>
      <c r="D290">
        <v>60000</v>
      </c>
    </row>
    <row r="291" spans="1:4" x14ac:dyDescent="0.25">
      <c r="A291" t="str">
        <f>T("   842230")</f>
        <v xml:space="preserve">   842230</v>
      </c>
      <c r="B291"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291">
        <v>15766450</v>
      </c>
      <c r="D291">
        <v>60000</v>
      </c>
    </row>
    <row r="292" spans="1:4" x14ac:dyDescent="0.25">
      <c r="A292" t="str">
        <f>T("EC")</f>
        <v>EC</v>
      </c>
      <c r="B292" t="str">
        <f>T("Equateur")</f>
        <v>Equateur</v>
      </c>
    </row>
    <row r="293" spans="1:4" x14ac:dyDescent="0.25">
      <c r="A293" t="str">
        <f>T("   ZZ_Total_Produit_SH6")</f>
        <v xml:space="preserve">   ZZ_Total_Produit_SH6</v>
      </c>
      <c r="B293" t="str">
        <f>T("   ZZ_Total_Produit_SH6")</f>
        <v xml:space="preserve">   ZZ_Total_Produit_SH6</v>
      </c>
      <c r="C293">
        <v>150990111</v>
      </c>
      <c r="D293">
        <v>3750.5</v>
      </c>
    </row>
    <row r="294" spans="1:4" x14ac:dyDescent="0.25">
      <c r="A294" t="str">
        <f>T("   120710")</f>
        <v xml:space="preserve">   120710</v>
      </c>
      <c r="B294" t="str">
        <f>T("   NOIX ET AMANDES DE PALMISTES")</f>
        <v xml:space="preserve">   NOIX ET AMANDES DE PALMISTES</v>
      </c>
      <c r="C294">
        <v>150990111</v>
      </c>
      <c r="D294">
        <v>3750.5</v>
      </c>
    </row>
    <row r="295" spans="1:4" x14ac:dyDescent="0.25">
      <c r="A295" t="str">
        <f>T("ES")</f>
        <v>ES</v>
      </c>
      <c r="B295" t="str">
        <f>T("Espagne")</f>
        <v>Espagne</v>
      </c>
    </row>
    <row r="296" spans="1:4" x14ac:dyDescent="0.25">
      <c r="A296" t="str">
        <f>T("   ZZ_Total_Produit_SH6")</f>
        <v xml:space="preserve">   ZZ_Total_Produit_SH6</v>
      </c>
      <c r="B296" t="str">
        <f>T("   ZZ_Total_Produit_SH6")</f>
        <v xml:space="preserve">   ZZ_Total_Produit_SH6</v>
      </c>
      <c r="C296">
        <v>165627770</v>
      </c>
      <c r="D296">
        <v>454743</v>
      </c>
    </row>
    <row r="297" spans="1:4" x14ac:dyDescent="0.25">
      <c r="A297" t="str">
        <f>T("   080131")</f>
        <v xml:space="preserve">   080131</v>
      </c>
      <c r="B297" t="str">
        <f>T("   Noix de cajou, fraîches ou sèches, en coques")</f>
        <v xml:space="preserve">   Noix de cajou, fraîches ou sèches, en coques</v>
      </c>
      <c r="C297">
        <v>32500000</v>
      </c>
      <c r="D297">
        <v>100000</v>
      </c>
    </row>
    <row r="298" spans="1:4" x14ac:dyDescent="0.25">
      <c r="A298" t="str">
        <f>T("   110100")</f>
        <v xml:space="preserve">   110100</v>
      </c>
      <c r="B298" t="str">
        <f>T("   Farines de froment [blé] ou de méteil")</f>
        <v xml:space="preserve">   Farines de froment [blé] ou de méteil</v>
      </c>
      <c r="C298">
        <v>36800</v>
      </c>
      <c r="D298">
        <v>100</v>
      </c>
    </row>
    <row r="299" spans="1:4" x14ac:dyDescent="0.25">
      <c r="A299" t="str">
        <f>T("   520100")</f>
        <v xml:space="preserve">   520100</v>
      </c>
      <c r="B299" t="str">
        <f>T("   COTON, NON-CARDÉ NI PEIGNÉ")</f>
        <v xml:space="preserve">   COTON, NON-CARDÉ NI PEIGNÉ</v>
      </c>
      <c r="C299">
        <v>76967371</v>
      </c>
      <c r="D299">
        <v>179505</v>
      </c>
    </row>
    <row r="300" spans="1:4" x14ac:dyDescent="0.25">
      <c r="A300" t="str">
        <f>T("   520299")</f>
        <v xml:space="preserve">   520299</v>
      </c>
      <c r="B300" t="str">
        <f>T("   Déchets de coton (à l'excl. des déchets de fils et des effilochés)")</f>
        <v xml:space="preserve">   Déchets de coton (à l'excl. des déchets de fils et des effilochés)</v>
      </c>
      <c r="C300">
        <v>39864499</v>
      </c>
      <c r="D300">
        <v>143143</v>
      </c>
    </row>
    <row r="301" spans="1:4" x14ac:dyDescent="0.25">
      <c r="A301" t="str">
        <f>T("   720429")</f>
        <v xml:space="preserve">   720429</v>
      </c>
      <c r="B301"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301">
        <v>1500000</v>
      </c>
      <c r="D301">
        <v>30000</v>
      </c>
    </row>
    <row r="302" spans="1:4" x14ac:dyDescent="0.25">
      <c r="A302" t="str">
        <f>T("   870323")</f>
        <v xml:space="preserve">   870323</v>
      </c>
      <c r="B302" t="s">
        <v>96</v>
      </c>
      <c r="C302">
        <v>14759100</v>
      </c>
      <c r="D302">
        <v>1995</v>
      </c>
    </row>
    <row r="303" spans="1:4" x14ac:dyDescent="0.25">
      <c r="A303" t="str">
        <f>T("FR")</f>
        <v>FR</v>
      </c>
      <c r="B303" t="str">
        <f>T("France")</f>
        <v>France</v>
      </c>
    </row>
    <row r="304" spans="1:4" x14ac:dyDescent="0.25">
      <c r="A304" t="str">
        <f>T("   ZZ_Total_Produit_SH6")</f>
        <v xml:space="preserve">   ZZ_Total_Produit_SH6</v>
      </c>
      <c r="B304" t="str">
        <f>T("   ZZ_Total_Produit_SH6")</f>
        <v xml:space="preserve">   ZZ_Total_Produit_SH6</v>
      </c>
      <c r="C304">
        <v>641007317</v>
      </c>
      <c r="D304">
        <v>773871</v>
      </c>
    </row>
    <row r="305" spans="1:4" x14ac:dyDescent="0.25">
      <c r="A305" t="str">
        <f>T("   080430")</f>
        <v xml:space="preserve">   080430</v>
      </c>
      <c r="B305" t="str">
        <f>T("   Ananas, frais ou secs")</f>
        <v xml:space="preserve">   Ananas, frais ou secs</v>
      </c>
      <c r="C305">
        <v>7899500</v>
      </c>
      <c r="D305">
        <v>73510</v>
      </c>
    </row>
    <row r="306" spans="1:4" x14ac:dyDescent="0.25">
      <c r="A306" t="str">
        <f>T("   091010")</f>
        <v xml:space="preserve">   091010</v>
      </c>
      <c r="B306" t="str">
        <f>T("   Gingembre")</f>
        <v xml:space="preserve">   Gingembre</v>
      </c>
      <c r="C306">
        <v>1421100</v>
      </c>
      <c r="D306">
        <v>9474</v>
      </c>
    </row>
    <row r="307" spans="1:4" x14ac:dyDescent="0.25">
      <c r="A307" t="str">
        <f>T("   100590")</f>
        <v xml:space="preserve">   100590</v>
      </c>
      <c r="B307" t="str">
        <f>T("   Maïs (autre que de semence)")</f>
        <v xml:space="preserve">   Maïs (autre que de semence)</v>
      </c>
      <c r="C307">
        <v>277000</v>
      </c>
      <c r="D307">
        <v>170</v>
      </c>
    </row>
    <row r="308" spans="1:4" x14ac:dyDescent="0.25">
      <c r="A308" t="str">
        <f>T("   110620")</f>
        <v xml:space="preserve">   110620</v>
      </c>
      <c r="B308" t="str">
        <f>T("   Farines, semoules et poudres de sagou ou des racines ou tubercules du n° 0714")</f>
        <v xml:space="preserve">   Farines, semoules et poudres de sagou ou des racines ou tubercules du n° 0714</v>
      </c>
      <c r="C308">
        <v>6585678</v>
      </c>
      <c r="D308">
        <v>24600</v>
      </c>
    </row>
    <row r="309" spans="1:4" x14ac:dyDescent="0.25">
      <c r="A309" t="str">
        <f>T("   130120")</f>
        <v xml:space="preserve">   130120</v>
      </c>
      <c r="B309" t="str">
        <f>T("   Gomme arabique")</f>
        <v xml:space="preserve">   Gomme arabique</v>
      </c>
      <c r="C309">
        <v>9600000</v>
      </c>
      <c r="D309">
        <v>44000</v>
      </c>
    </row>
    <row r="310" spans="1:4" x14ac:dyDescent="0.25">
      <c r="A310" t="str">
        <f>T("   140490")</f>
        <v xml:space="preserve">   140490</v>
      </c>
      <c r="B310" t="str">
        <f>T("   Produits végétaux, n.d.a.")</f>
        <v xml:space="preserve">   Produits végétaux, n.d.a.</v>
      </c>
      <c r="C310">
        <v>3000</v>
      </c>
      <c r="D310">
        <v>10</v>
      </c>
    </row>
    <row r="311" spans="1:4" x14ac:dyDescent="0.25">
      <c r="A311" t="str">
        <f>T("   151311")</f>
        <v xml:space="preserve">   151311</v>
      </c>
      <c r="B311" t="str">
        <f>T("   Huile de coco [coprah], brute")</f>
        <v xml:space="preserve">   Huile de coco [coprah], brute</v>
      </c>
      <c r="C311">
        <v>400000</v>
      </c>
      <c r="D311">
        <v>450</v>
      </c>
    </row>
    <row r="312" spans="1:4" x14ac:dyDescent="0.25">
      <c r="A312" t="str">
        <f>T("   151321")</f>
        <v xml:space="preserve">   151321</v>
      </c>
      <c r="B312" t="str">
        <f>T("   Huiles de palmiste ou de babassu, brutes")</f>
        <v xml:space="preserve">   Huiles de palmiste ou de babassu, brutes</v>
      </c>
      <c r="C312">
        <v>36000</v>
      </c>
      <c r="D312">
        <v>22</v>
      </c>
    </row>
    <row r="313" spans="1:4" x14ac:dyDescent="0.25">
      <c r="A313" t="str">
        <f>T("   151590")</f>
        <v xml:space="preserve">   151590</v>
      </c>
      <c r="B313" t="s">
        <v>17</v>
      </c>
      <c r="C313">
        <v>1300000</v>
      </c>
      <c r="D313">
        <v>2098</v>
      </c>
    </row>
    <row r="314" spans="1:4" x14ac:dyDescent="0.25">
      <c r="A314" t="str">
        <f>T("   230400")</f>
        <v xml:space="preserve">   230400</v>
      </c>
      <c r="B314"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314">
        <v>34473322</v>
      </c>
      <c r="D314">
        <v>161704</v>
      </c>
    </row>
    <row r="315" spans="1:4" x14ac:dyDescent="0.25">
      <c r="A315" t="str">
        <f>T("   253090")</f>
        <v xml:space="preserve">   253090</v>
      </c>
      <c r="B315" t="str">
        <f>T("   Sulfures d'arsenic, alunite, terre de pouzzolane, terres colorantes et autres matières minérales, n.d.a.")</f>
        <v xml:space="preserve">   Sulfures d'arsenic, alunite, terre de pouzzolane, terres colorantes et autres matières minérales, n.d.a.</v>
      </c>
      <c r="C315">
        <v>100000</v>
      </c>
      <c r="D315">
        <v>508</v>
      </c>
    </row>
    <row r="316" spans="1:4" x14ac:dyDescent="0.25">
      <c r="A316" t="str">
        <f>T("   340119")</f>
        <v xml:space="preserve">   340119</v>
      </c>
      <c r="B316" t="s">
        <v>34</v>
      </c>
      <c r="C316">
        <v>45000</v>
      </c>
      <c r="D316">
        <v>171</v>
      </c>
    </row>
    <row r="317" spans="1:4" x14ac:dyDescent="0.25">
      <c r="A317" t="str">
        <f>T("   340120")</f>
        <v xml:space="preserve">   340120</v>
      </c>
      <c r="B317" t="str">
        <f>T("   Savons en flocons, en paillettes, en granulés ou en poudres et savons liquides ou pâteux")</f>
        <v xml:space="preserve">   Savons en flocons, en paillettes, en granulés ou en poudres et savons liquides ou pâteux</v>
      </c>
      <c r="C317">
        <v>100000</v>
      </c>
      <c r="D317">
        <v>400</v>
      </c>
    </row>
    <row r="318" spans="1:4" x14ac:dyDescent="0.25">
      <c r="A318" t="str">
        <f>T("   380840")</f>
        <v xml:space="preserve">   380840</v>
      </c>
      <c r="B318"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318">
        <v>44112936</v>
      </c>
      <c r="D318">
        <v>76000</v>
      </c>
    </row>
    <row r="319" spans="1:4" x14ac:dyDescent="0.25">
      <c r="A319" t="str">
        <f>T("   392310")</f>
        <v xml:space="preserve">   392310</v>
      </c>
      <c r="B319" t="str">
        <f>T("   Boîtes, caisses, casiers et articles simil. pour le transport ou l'emballage, en matières plastiques")</f>
        <v xml:space="preserve">   Boîtes, caisses, casiers et articles simil. pour le transport ou l'emballage, en matières plastiques</v>
      </c>
      <c r="C319">
        <v>1790000</v>
      </c>
      <c r="D319">
        <v>2250</v>
      </c>
    </row>
    <row r="320" spans="1:4" x14ac:dyDescent="0.25">
      <c r="A320" t="str">
        <f>T("   392329")</f>
        <v xml:space="preserve">   392329</v>
      </c>
      <c r="B320" t="str">
        <f>T("   Sacs, sachets, pochettes et cornets, en matières plastiques (autres que les polymères de l'éthylène)")</f>
        <v xml:space="preserve">   Sacs, sachets, pochettes et cornets, en matières plastiques (autres que les polymères de l'éthylène)</v>
      </c>
      <c r="C320">
        <v>2743365</v>
      </c>
      <c r="D320">
        <v>1219</v>
      </c>
    </row>
    <row r="321" spans="1:4" x14ac:dyDescent="0.25">
      <c r="A321" t="str">
        <f>T("   440710")</f>
        <v xml:space="preserve">   440710</v>
      </c>
      <c r="B321" t="str">
        <f>T("   Bois de conifères, sciés ou dédossés longitudinalement, tranchés ou déroulés, même rabotés, poncés ou collés par assemblage en bout, d'une épaisseur &gt; 6 mm")</f>
        <v xml:space="preserve">   Bois de conifères, sciés ou dédossés longitudinalement, tranchés ou déroulés, même rabotés, poncés ou collés par assemblage en bout, d'une épaisseur &gt; 6 mm</v>
      </c>
      <c r="C321">
        <v>1625000</v>
      </c>
      <c r="D321">
        <v>7000</v>
      </c>
    </row>
    <row r="322" spans="1:4" x14ac:dyDescent="0.25">
      <c r="A322" t="str">
        <f>T("   440799")</f>
        <v xml:space="preserve">   440799</v>
      </c>
      <c r="B322" t="s">
        <v>41</v>
      </c>
      <c r="C322">
        <v>25792347</v>
      </c>
      <c r="D322">
        <v>12950</v>
      </c>
    </row>
    <row r="323" spans="1:4" x14ac:dyDescent="0.25">
      <c r="A323" t="str">
        <f>T("   460120")</f>
        <v xml:space="preserve">   460120</v>
      </c>
      <c r="B323" t="str">
        <f>T("   Nattes, paillassons et claies en matières à tresser végétales, tissés ou parallélisés, à plat")</f>
        <v xml:space="preserve">   Nattes, paillassons et claies en matières à tresser végétales, tissés ou parallélisés, à plat</v>
      </c>
      <c r="C323">
        <v>150000</v>
      </c>
      <c r="D323">
        <v>300</v>
      </c>
    </row>
    <row r="324" spans="1:4" x14ac:dyDescent="0.25">
      <c r="A324" t="str">
        <f>T("   481910")</f>
        <v xml:space="preserve">   481910</v>
      </c>
      <c r="B324" t="str">
        <f>T("   Boîtes et caisses en papier ou en carton ondulé")</f>
        <v xml:space="preserve">   Boîtes et caisses en papier ou en carton ondulé</v>
      </c>
      <c r="C324">
        <v>648876</v>
      </c>
      <c r="D324">
        <v>1056</v>
      </c>
    </row>
    <row r="325" spans="1:4" x14ac:dyDescent="0.25">
      <c r="A325" t="str">
        <f>T("   481940")</f>
        <v xml:space="preserve">   481940</v>
      </c>
      <c r="B325"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325">
        <v>3840711</v>
      </c>
      <c r="D325">
        <v>1376</v>
      </c>
    </row>
    <row r="326" spans="1:4" x14ac:dyDescent="0.25">
      <c r="A326" t="str">
        <f>T("   490199")</f>
        <v xml:space="preserve">   490199</v>
      </c>
      <c r="B32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26">
        <v>2650000</v>
      </c>
      <c r="D326">
        <v>2700</v>
      </c>
    </row>
    <row r="327" spans="1:4" x14ac:dyDescent="0.25">
      <c r="A327" t="str">
        <f>T("   490700")</f>
        <v xml:space="preserve">   490700</v>
      </c>
      <c r="B327" t="s">
        <v>46</v>
      </c>
      <c r="C327">
        <v>82200000</v>
      </c>
      <c r="D327">
        <v>37372</v>
      </c>
    </row>
    <row r="328" spans="1:4" x14ac:dyDescent="0.25">
      <c r="A328" t="str">
        <f>T("   520100")</f>
        <v xml:space="preserve">   520100</v>
      </c>
      <c r="B328" t="str">
        <f>T("   COTON, NON-CARDÉ NI PEIGNÉ")</f>
        <v xml:space="preserve">   COTON, NON-CARDÉ NI PEIGNÉ</v>
      </c>
      <c r="C328">
        <v>64267065</v>
      </c>
      <c r="D328">
        <v>70833</v>
      </c>
    </row>
    <row r="329" spans="1:4" x14ac:dyDescent="0.25">
      <c r="A329" t="str">
        <f>T("   611300")</f>
        <v xml:space="preserve">   611300</v>
      </c>
      <c r="B329" t="str">
        <f>T("   Vêtements confectionnés en étoffes de bonneterie caoutchoutées ou imprégnées, enduites ou recouvertes de matière plastique ou d'autres substances (sauf vêtements pour bébés et accessoires du vêtement)")</f>
        <v xml:space="preserve">   Vêtements confectionnés en étoffes de bonneterie caoutchoutées ou imprégnées, enduites ou recouvertes de matière plastique ou d'autres substances (sauf vêtements pour bébés et accessoires du vêtement)</v>
      </c>
      <c r="C329">
        <v>500000</v>
      </c>
      <c r="D329">
        <v>50</v>
      </c>
    </row>
    <row r="330" spans="1:4" x14ac:dyDescent="0.25">
      <c r="A330" t="str">
        <f>T("   620319")</f>
        <v xml:space="preserve">   620319</v>
      </c>
      <c r="B330" t="s">
        <v>52</v>
      </c>
      <c r="C330">
        <v>16344136</v>
      </c>
      <c r="D330">
        <v>5000</v>
      </c>
    </row>
    <row r="331" spans="1:4" x14ac:dyDescent="0.25">
      <c r="A331" t="str">
        <f>T("   620590")</f>
        <v xml:space="preserve">   620590</v>
      </c>
      <c r="B33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31">
        <v>5550000</v>
      </c>
      <c r="D331">
        <v>7100</v>
      </c>
    </row>
    <row r="332" spans="1:4" x14ac:dyDescent="0.25">
      <c r="A332" t="str">
        <f>T("   621020")</f>
        <v xml:space="preserve">   621020</v>
      </c>
      <c r="B332"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332">
        <v>2750700</v>
      </c>
      <c r="D332">
        <v>691</v>
      </c>
    </row>
    <row r="333" spans="1:4" x14ac:dyDescent="0.25">
      <c r="A333" t="str">
        <f>T("   680299")</f>
        <v xml:space="preserve">   680299</v>
      </c>
      <c r="B333" t="s">
        <v>59</v>
      </c>
      <c r="C333">
        <v>8844000</v>
      </c>
      <c r="D333">
        <v>66560</v>
      </c>
    </row>
    <row r="334" spans="1:4" x14ac:dyDescent="0.25">
      <c r="A334" t="str">
        <f>T("   680430")</f>
        <v xml:space="preserve">   680430</v>
      </c>
      <c r="B334" t="str">
        <f>T("   Pierres à aiguiser ou à polir à la main")</f>
        <v xml:space="preserve">   Pierres à aiguiser ou à polir à la main</v>
      </c>
      <c r="C334">
        <v>2875000</v>
      </c>
      <c r="D334">
        <v>23500</v>
      </c>
    </row>
    <row r="335" spans="1:4" x14ac:dyDescent="0.25">
      <c r="A335" t="str">
        <f>T("   711790")</f>
        <v xml:space="preserve">   711790</v>
      </c>
      <c r="B335" t="str">
        <f>T("   Bijouterie de fantaisie (autre qu'en métaux communs, même argentés, dorés ou platinés)")</f>
        <v xml:space="preserve">   Bijouterie de fantaisie (autre qu'en métaux communs, même argentés, dorés ou platinés)</v>
      </c>
      <c r="C335">
        <v>846350</v>
      </c>
      <c r="D335">
        <v>93</v>
      </c>
    </row>
    <row r="336" spans="1:4" x14ac:dyDescent="0.25">
      <c r="A336" t="str">
        <f>T("   732394")</f>
        <v xml:space="preserve">   732394</v>
      </c>
      <c r="B336" t="s">
        <v>73</v>
      </c>
      <c r="C336">
        <v>3800000</v>
      </c>
      <c r="D336">
        <v>6150</v>
      </c>
    </row>
    <row r="337" spans="1:4" x14ac:dyDescent="0.25">
      <c r="A337" t="str">
        <f>T("   732399")</f>
        <v xml:space="preserve">   732399</v>
      </c>
      <c r="B337" t="s">
        <v>74</v>
      </c>
      <c r="C337">
        <v>6150000</v>
      </c>
      <c r="D337">
        <v>5720</v>
      </c>
    </row>
    <row r="338" spans="1:4" x14ac:dyDescent="0.25">
      <c r="A338" t="str">
        <f>T("   820559")</f>
        <v xml:space="preserve">   820559</v>
      </c>
      <c r="B338" t="str">
        <f>T("   Outils à main, y.c. -les diamants de vitrier-, en métaux communs, n.d.a.")</f>
        <v xml:space="preserve">   Outils à main, y.c. -les diamants de vitrier-, en métaux communs, n.d.a.</v>
      </c>
      <c r="C338">
        <v>497939</v>
      </c>
      <c r="D338">
        <v>963</v>
      </c>
    </row>
    <row r="339" spans="1:4" x14ac:dyDescent="0.25">
      <c r="A339" t="str">
        <f>T("   820590")</f>
        <v xml:space="preserve">   820590</v>
      </c>
      <c r="B339" t="str">
        <f>T("   Assortiments d'outils d'au moins deux des sous-positions du n° 8205")</f>
        <v xml:space="preserve">   Assortiments d'outils d'au moins deux des sous-positions du n° 8205</v>
      </c>
      <c r="C339">
        <v>4256715</v>
      </c>
      <c r="D339">
        <v>908</v>
      </c>
    </row>
    <row r="340" spans="1:4" x14ac:dyDescent="0.25">
      <c r="A340" t="str">
        <f>T("   840721")</f>
        <v xml:space="preserve">   840721</v>
      </c>
      <c r="B340" t="s">
        <v>78</v>
      </c>
      <c r="C340">
        <v>2700000</v>
      </c>
      <c r="D340">
        <v>400</v>
      </c>
    </row>
    <row r="341" spans="1:4" x14ac:dyDescent="0.25">
      <c r="A341" t="str">
        <f>T("   842539")</f>
        <v xml:space="preserve">   842539</v>
      </c>
      <c r="B341"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341">
        <v>1967880</v>
      </c>
      <c r="D341">
        <v>3000</v>
      </c>
    </row>
    <row r="342" spans="1:4" x14ac:dyDescent="0.25">
      <c r="A342" t="str">
        <f>T("   843041")</f>
        <v xml:space="preserve">   843041</v>
      </c>
      <c r="B342" t="s">
        <v>85</v>
      </c>
      <c r="C342">
        <v>38519283</v>
      </c>
      <c r="D342">
        <v>14800</v>
      </c>
    </row>
    <row r="343" spans="1:4" x14ac:dyDescent="0.25">
      <c r="A343" t="str">
        <f>T("   843049")</f>
        <v xml:space="preserve">   843049</v>
      </c>
      <c r="B343"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343">
        <v>56814663</v>
      </c>
      <c r="D343">
        <v>16500</v>
      </c>
    </row>
    <row r="344" spans="1:4" x14ac:dyDescent="0.25">
      <c r="A344" t="str">
        <f>T("   843120")</f>
        <v xml:space="preserve">   843120</v>
      </c>
      <c r="B344" t="str">
        <f>T("   Parties de chariots-gerbeurs et autres chariots de manutention munis d'un dispositif de levage, n.d.a.")</f>
        <v xml:space="preserve">   Parties de chariots-gerbeurs et autres chariots de manutention munis d'un dispositif de levage, n.d.a.</v>
      </c>
      <c r="C344">
        <v>655960</v>
      </c>
      <c r="D344">
        <v>950</v>
      </c>
    </row>
    <row r="345" spans="1:4" x14ac:dyDescent="0.25">
      <c r="A345" t="str">
        <f>T("   843149")</f>
        <v xml:space="preserve">   843149</v>
      </c>
      <c r="B345" t="str">
        <f>T("   Parties de machines et appareils du n° 8426, 8429 ou 8430, n.d.a.")</f>
        <v xml:space="preserve">   Parties de machines et appareils du n° 8426, 8429 ou 8430, n.d.a.</v>
      </c>
      <c r="C345">
        <v>450000</v>
      </c>
      <c r="D345">
        <v>1300</v>
      </c>
    </row>
    <row r="346" spans="1:4" x14ac:dyDescent="0.25">
      <c r="A346" t="str">
        <f>T("   850212")</f>
        <v xml:space="preserve">   850212</v>
      </c>
      <c r="B346"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346">
        <v>36845272</v>
      </c>
      <c r="D346">
        <v>5700</v>
      </c>
    </row>
    <row r="347" spans="1:4" x14ac:dyDescent="0.25">
      <c r="A347" t="str">
        <f>T("   870323")</f>
        <v xml:space="preserve">   870323</v>
      </c>
      <c r="B347" t="s">
        <v>96</v>
      </c>
      <c r="C347">
        <v>21873142</v>
      </c>
      <c r="D347">
        <v>9160</v>
      </c>
    </row>
    <row r="348" spans="1:4" x14ac:dyDescent="0.25">
      <c r="A348" t="str">
        <f>T("   870421")</f>
        <v xml:space="preserve">   870421</v>
      </c>
      <c r="B348" t="s">
        <v>100</v>
      </c>
      <c r="C348">
        <v>2805032</v>
      </c>
      <c r="D348">
        <v>1930</v>
      </c>
    </row>
    <row r="349" spans="1:4" x14ac:dyDescent="0.25">
      <c r="A349" t="str">
        <f>T("   871110")</f>
        <v xml:space="preserve">   871110</v>
      </c>
      <c r="B349" t="str">
        <f>T("   Cyclomoteurs, à moteur à piston alternatif, cylindrée &lt;= 50 cm³, y.c. cycles à moteur auxiliaire")</f>
        <v xml:space="preserve">   Cyclomoteurs, à moteur à piston alternatif, cylindrée &lt;= 50 cm³, y.c. cycles à moteur auxiliaire</v>
      </c>
      <c r="C349">
        <v>1119215</v>
      </c>
      <c r="D349">
        <v>150</v>
      </c>
    </row>
    <row r="350" spans="1:4" x14ac:dyDescent="0.25">
      <c r="A350" t="str">
        <f>T("   940320")</f>
        <v xml:space="preserve">   940320</v>
      </c>
      <c r="B350"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350">
        <v>400000</v>
      </c>
      <c r="D350">
        <v>400</v>
      </c>
    </row>
    <row r="351" spans="1:4" x14ac:dyDescent="0.25">
      <c r="A351" t="str">
        <f>T("   940350")</f>
        <v xml:space="preserve">   940350</v>
      </c>
      <c r="B351" t="str">
        <f>T("   Meubles pour chambres à coucher, en bois (sauf sièges)")</f>
        <v xml:space="preserve">   Meubles pour chambres à coucher, en bois (sauf sièges)</v>
      </c>
      <c r="C351">
        <v>94698307</v>
      </c>
      <c r="D351">
        <v>24510</v>
      </c>
    </row>
    <row r="352" spans="1:4" x14ac:dyDescent="0.25">
      <c r="A352" t="str">
        <f>T("   940360")</f>
        <v xml:space="preserve">   940360</v>
      </c>
      <c r="B352" t="str">
        <f>T("   Meubles en bois (autres que pour bureaux, cuisines ou chambres à coucher et autres que sièges)")</f>
        <v xml:space="preserve">   Meubles en bois (autres que pour bureaux, cuisines ou chambres à coucher et autres que sièges)</v>
      </c>
      <c r="C352">
        <v>37082823</v>
      </c>
      <c r="D352">
        <v>47495</v>
      </c>
    </row>
    <row r="353" spans="1:4" x14ac:dyDescent="0.25">
      <c r="A353" t="str">
        <f>T("   970300")</f>
        <v xml:space="preserve">   970300</v>
      </c>
      <c r="B353" t="str">
        <f>T("   Productions originales de l'art statuaire ou de la sculpture, en toutes matières")</f>
        <v xml:space="preserve">   Productions originales de l'art statuaire ou de la sculpture, en toutes matières</v>
      </c>
      <c r="C353">
        <v>600000</v>
      </c>
      <c r="D353">
        <v>668</v>
      </c>
    </row>
    <row r="354" spans="1:4" x14ac:dyDescent="0.25">
      <c r="A354" t="str">
        <f>T("GA")</f>
        <v>GA</v>
      </c>
      <c r="B354" t="str">
        <f>T("Gabon")</f>
        <v>Gabon</v>
      </c>
    </row>
    <row r="355" spans="1:4" x14ac:dyDescent="0.25">
      <c r="A355" t="str">
        <f>T("   ZZ_Total_Produit_SH6")</f>
        <v xml:space="preserve">   ZZ_Total_Produit_SH6</v>
      </c>
      <c r="B355" t="str">
        <f>T("   ZZ_Total_Produit_SH6")</f>
        <v xml:space="preserve">   ZZ_Total_Produit_SH6</v>
      </c>
      <c r="C355">
        <v>302714769</v>
      </c>
      <c r="D355">
        <v>1437560</v>
      </c>
    </row>
    <row r="356" spans="1:4" x14ac:dyDescent="0.25">
      <c r="A356" t="str">
        <f>T("   071339")</f>
        <v xml:space="preserve">   071339</v>
      </c>
      <c r="B356"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356">
        <v>2082500</v>
      </c>
      <c r="D356">
        <v>5950</v>
      </c>
    </row>
    <row r="357" spans="1:4" x14ac:dyDescent="0.25">
      <c r="A357" t="str">
        <f>T("   071490")</f>
        <v xml:space="preserve">   071490</v>
      </c>
      <c r="B357" t="s">
        <v>14</v>
      </c>
      <c r="C357">
        <v>5595000</v>
      </c>
      <c r="D357">
        <v>130000</v>
      </c>
    </row>
    <row r="358" spans="1:4" x14ac:dyDescent="0.25">
      <c r="A358" t="str">
        <f>T("   100610")</f>
        <v xml:space="preserve">   100610</v>
      </c>
      <c r="B358" t="str">
        <f>T("   Riz en paille [riz paddy]")</f>
        <v xml:space="preserve">   Riz en paille [riz paddy]</v>
      </c>
      <c r="C358">
        <v>4230000</v>
      </c>
      <c r="D358">
        <v>3000</v>
      </c>
    </row>
    <row r="359" spans="1:4" x14ac:dyDescent="0.25">
      <c r="A359" t="str">
        <f>T("   100620")</f>
        <v xml:space="preserve">   100620</v>
      </c>
      <c r="B359" t="str">
        <f>T("   Riz décortiqué [riz cargo ou riz brun]")</f>
        <v xml:space="preserve">   Riz décortiqué [riz cargo ou riz brun]</v>
      </c>
      <c r="C359">
        <v>282000</v>
      </c>
      <c r="D359">
        <v>300</v>
      </c>
    </row>
    <row r="360" spans="1:4" x14ac:dyDescent="0.25">
      <c r="A360" t="str">
        <f>T("   100890")</f>
        <v xml:space="preserve">   100890</v>
      </c>
      <c r="B360"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360">
        <v>1020000</v>
      </c>
      <c r="D360">
        <v>5100</v>
      </c>
    </row>
    <row r="361" spans="1:4" x14ac:dyDescent="0.25">
      <c r="A361" t="str">
        <f>T("   110290")</f>
        <v xml:space="preserve">   110290</v>
      </c>
      <c r="B361" t="str">
        <f>T("   FARINES DE CÉRÉALES (À L'EXCL. DES FARINES DE FROMENT [BLÉ], DE MÉTEIL, DE SEIGLE ET DE MAÏS)")</f>
        <v xml:space="preserve">   FARINES DE CÉRÉALES (À L'EXCL. DES FARINES DE FROMENT [BLÉ], DE MÉTEIL, DE SEIGLE ET DE MAÏS)</v>
      </c>
      <c r="C361">
        <v>600000</v>
      </c>
      <c r="D361">
        <v>7000</v>
      </c>
    </row>
    <row r="362" spans="1:4" x14ac:dyDescent="0.25">
      <c r="A362" t="str">
        <f>T("   110620")</f>
        <v xml:space="preserve">   110620</v>
      </c>
      <c r="B362" t="str">
        <f>T("   Farines, semoules et poudres de sagou ou des racines ou tubercules du n° 0714")</f>
        <v xml:space="preserve">   Farines, semoules et poudres de sagou ou des racines ou tubercules du n° 0714</v>
      </c>
      <c r="C362">
        <v>23314250</v>
      </c>
      <c r="D362">
        <v>202800</v>
      </c>
    </row>
    <row r="363" spans="1:4" x14ac:dyDescent="0.25">
      <c r="A363" t="str">
        <f>T("   120710")</f>
        <v xml:space="preserve">   120710</v>
      </c>
      <c r="B363" t="str">
        <f>T("   NOIX ET AMANDES DE PALMISTES")</f>
        <v xml:space="preserve">   NOIX ET AMANDES DE PALMISTES</v>
      </c>
      <c r="C363">
        <v>33453807</v>
      </c>
      <c r="D363">
        <v>374</v>
      </c>
    </row>
    <row r="364" spans="1:4" x14ac:dyDescent="0.25">
      <c r="A364" t="str">
        <f>T("   121190")</f>
        <v xml:space="preserve">   121190</v>
      </c>
      <c r="B364" t="s">
        <v>16</v>
      </c>
      <c r="C364">
        <v>125000</v>
      </c>
      <c r="D364">
        <v>1250</v>
      </c>
    </row>
    <row r="365" spans="1:4" x14ac:dyDescent="0.25">
      <c r="A365" t="str">
        <f>T("   200600")</f>
        <v xml:space="preserve">   200600</v>
      </c>
      <c r="B365" t="str">
        <f>T("   Légumes, fruits, écorces de fruits et autres parties de plantes, confits au sucre [égouttés, glacés ou cristallisés]")</f>
        <v xml:space="preserve">   Légumes, fruits, écorces de fruits et autres parties de plantes, confits au sucre [égouttés, glacés ou cristallisés]</v>
      </c>
      <c r="C365">
        <v>160000</v>
      </c>
      <c r="D365">
        <v>1200</v>
      </c>
    </row>
    <row r="366" spans="1:4" x14ac:dyDescent="0.25">
      <c r="A366" t="str">
        <f>T("   220290")</f>
        <v xml:space="preserve">   220290</v>
      </c>
      <c r="B366" t="str">
        <f>T("   BOISSONS NON-ALCOOLIQUES (À L'EXCL. DES EAUX, DES JUS DE FRUITS OU DE LÉGUMES AINSI QUE DU LAIT)")</f>
        <v xml:space="preserve">   BOISSONS NON-ALCOOLIQUES (À L'EXCL. DES EAUX, DES JUS DE FRUITS OU DE LÉGUMES AINSI QUE DU LAIT)</v>
      </c>
      <c r="C366">
        <v>15000</v>
      </c>
      <c r="D366">
        <v>300</v>
      </c>
    </row>
    <row r="367" spans="1:4" x14ac:dyDescent="0.25">
      <c r="A367" t="str">
        <f>T("   220600")</f>
        <v xml:space="preserve">   220600</v>
      </c>
      <c r="B367" t="s">
        <v>22</v>
      </c>
      <c r="C367">
        <v>1800000</v>
      </c>
      <c r="D367">
        <v>26300</v>
      </c>
    </row>
    <row r="368" spans="1:4" x14ac:dyDescent="0.25">
      <c r="A368" t="str">
        <f>T("   220890")</f>
        <v xml:space="preserve">   220890</v>
      </c>
      <c r="B368" t="s">
        <v>23</v>
      </c>
      <c r="C368">
        <v>1200000</v>
      </c>
      <c r="D368">
        <v>4000</v>
      </c>
    </row>
    <row r="369" spans="1:4" x14ac:dyDescent="0.25">
      <c r="A369" t="str">
        <f>T("   230240")</f>
        <v xml:space="preserve">   230240</v>
      </c>
      <c r="B369"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369">
        <v>2000000</v>
      </c>
      <c r="D369">
        <v>19000</v>
      </c>
    </row>
    <row r="370" spans="1:4" x14ac:dyDescent="0.25">
      <c r="A370" t="str">
        <f>T("   230400")</f>
        <v xml:space="preserve">   230400</v>
      </c>
      <c r="B370"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370">
        <v>201268934</v>
      </c>
      <c r="D370">
        <v>944095</v>
      </c>
    </row>
    <row r="371" spans="1:4" x14ac:dyDescent="0.25">
      <c r="A371" t="str">
        <f>T("   294200")</f>
        <v xml:space="preserve">   294200</v>
      </c>
      <c r="B371" t="str">
        <f>T("   Composés organiques de constitution chimique définie présentés isolément, n.d.a.")</f>
        <v xml:space="preserve">   Composés organiques de constitution chimique définie présentés isolément, n.d.a.</v>
      </c>
      <c r="C371">
        <v>1445000</v>
      </c>
      <c r="D371">
        <v>197</v>
      </c>
    </row>
    <row r="372" spans="1:4" x14ac:dyDescent="0.25">
      <c r="A372" t="str">
        <f>T("   300390")</f>
        <v xml:space="preserve">   300390</v>
      </c>
      <c r="B372" t="s">
        <v>26</v>
      </c>
      <c r="C372">
        <v>400000</v>
      </c>
      <c r="D372">
        <v>4000</v>
      </c>
    </row>
    <row r="373" spans="1:4" x14ac:dyDescent="0.25">
      <c r="A373" t="str">
        <f>T("   330499")</f>
        <v xml:space="preserve">   330499</v>
      </c>
      <c r="B373" t="s">
        <v>32</v>
      </c>
      <c r="C373">
        <v>825000</v>
      </c>
      <c r="D373">
        <v>1500</v>
      </c>
    </row>
    <row r="374" spans="1:4" x14ac:dyDescent="0.25">
      <c r="A374" t="str">
        <f>T("   392490")</f>
        <v xml:space="preserve">   392490</v>
      </c>
      <c r="B374" t="s">
        <v>35</v>
      </c>
      <c r="C374">
        <v>2415000</v>
      </c>
      <c r="D374">
        <v>20400</v>
      </c>
    </row>
    <row r="375" spans="1:4" x14ac:dyDescent="0.25">
      <c r="A375" t="str">
        <f>T("   630539")</f>
        <v xml:space="preserve">   630539</v>
      </c>
      <c r="B375"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375">
        <v>4000000</v>
      </c>
      <c r="D375">
        <v>1200</v>
      </c>
    </row>
    <row r="376" spans="1:4" x14ac:dyDescent="0.25">
      <c r="A376" t="str">
        <f>T("   720429")</f>
        <v xml:space="preserve">   720429</v>
      </c>
      <c r="B376"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376">
        <v>500000</v>
      </c>
      <c r="D376">
        <v>10000</v>
      </c>
    </row>
    <row r="377" spans="1:4" x14ac:dyDescent="0.25">
      <c r="A377" t="str">
        <f>T("   842219")</f>
        <v xml:space="preserve">   842219</v>
      </c>
      <c r="B377" t="str">
        <f>T("   Machines à laver la vaisselle (autres que de type ménager)")</f>
        <v xml:space="preserve">   Machines à laver la vaisselle (autres que de type ménager)</v>
      </c>
      <c r="C377">
        <v>1000000</v>
      </c>
      <c r="D377">
        <v>200</v>
      </c>
    </row>
    <row r="378" spans="1:4" x14ac:dyDescent="0.25">
      <c r="A378" t="str">
        <f>T("   848330")</f>
        <v xml:space="preserve">   848330</v>
      </c>
      <c r="B378" t="str">
        <f>T("   Paliers pour machines, sans roulements incorporés; coussinets et coquilles de coussinets pour machines")</f>
        <v xml:space="preserve">   Paliers pour machines, sans roulements incorporés; coussinets et coquilles de coussinets pour machines</v>
      </c>
      <c r="C378">
        <v>1311920</v>
      </c>
      <c r="D378">
        <v>8000</v>
      </c>
    </row>
    <row r="379" spans="1:4" x14ac:dyDescent="0.25">
      <c r="A379" t="str">
        <f>T("   860900")</f>
        <v xml:space="preserve">   860900</v>
      </c>
      <c r="B379"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379">
        <v>2000000</v>
      </c>
      <c r="D379">
        <v>4400</v>
      </c>
    </row>
    <row r="380" spans="1:4" x14ac:dyDescent="0.25">
      <c r="A380" t="str">
        <f>T("   870210")</f>
        <v xml:space="preserve">   870210</v>
      </c>
      <c r="B380" t="s">
        <v>94</v>
      </c>
      <c r="C380">
        <v>1200000</v>
      </c>
      <c r="D380">
        <v>1710</v>
      </c>
    </row>
    <row r="381" spans="1:4" x14ac:dyDescent="0.25">
      <c r="A381" t="str">
        <f>T("   870322")</f>
        <v xml:space="preserve">   870322</v>
      </c>
      <c r="B381" t="s">
        <v>95</v>
      </c>
      <c r="C381">
        <v>1200000</v>
      </c>
      <c r="D381">
        <v>800</v>
      </c>
    </row>
    <row r="382" spans="1:4" x14ac:dyDescent="0.25">
      <c r="A382" t="str">
        <f>T("   870323")</f>
        <v xml:space="preserve">   870323</v>
      </c>
      <c r="B382" t="s">
        <v>96</v>
      </c>
      <c r="C382">
        <v>4146998</v>
      </c>
      <c r="D382">
        <v>3434</v>
      </c>
    </row>
    <row r="383" spans="1:4" x14ac:dyDescent="0.25">
      <c r="A383" t="str">
        <f>T("   870422")</f>
        <v xml:space="preserve">   870422</v>
      </c>
      <c r="B383" t="s">
        <v>101</v>
      </c>
      <c r="C383">
        <v>2247975</v>
      </c>
      <c r="D383">
        <v>7600</v>
      </c>
    </row>
    <row r="384" spans="1:4" x14ac:dyDescent="0.25">
      <c r="A384" t="str">
        <f>T("   870423")</f>
        <v xml:space="preserve">   870423</v>
      </c>
      <c r="B384" t="s">
        <v>102</v>
      </c>
      <c r="C384">
        <v>2876385</v>
      </c>
      <c r="D384">
        <v>23450</v>
      </c>
    </row>
    <row r="385" spans="1:4" x14ac:dyDescent="0.25">
      <c r="A385" t="str">
        <f>T("GB")</f>
        <v>GB</v>
      </c>
      <c r="B385" t="str">
        <f>T("Royaume-Uni")</f>
        <v>Royaume-Uni</v>
      </c>
    </row>
    <row r="386" spans="1:4" x14ac:dyDescent="0.25">
      <c r="A386" t="str">
        <f>T("   ZZ_Total_Produit_SH6")</f>
        <v xml:space="preserve">   ZZ_Total_Produit_SH6</v>
      </c>
      <c r="B386" t="str">
        <f>T("   ZZ_Total_Produit_SH6")</f>
        <v xml:space="preserve">   ZZ_Total_Produit_SH6</v>
      </c>
      <c r="C386">
        <v>6268788</v>
      </c>
      <c r="D386">
        <v>26090</v>
      </c>
    </row>
    <row r="387" spans="1:4" x14ac:dyDescent="0.25">
      <c r="A387" t="str">
        <f>T("   071490")</f>
        <v xml:space="preserve">   071490</v>
      </c>
      <c r="B387" t="s">
        <v>14</v>
      </c>
      <c r="C387">
        <v>350000</v>
      </c>
      <c r="D387">
        <v>10600</v>
      </c>
    </row>
    <row r="388" spans="1:4" x14ac:dyDescent="0.25">
      <c r="A388" t="str">
        <f>T("   110620")</f>
        <v xml:space="preserve">   110620</v>
      </c>
      <c r="B388" t="str">
        <f>T("   Farines, semoules et poudres de sagou ou des racines ou tubercules du n° 0714")</f>
        <v xml:space="preserve">   Farines, semoules et poudres de sagou ou des racines ou tubercules du n° 0714</v>
      </c>
      <c r="C388">
        <v>1687500</v>
      </c>
      <c r="D388">
        <v>11250</v>
      </c>
    </row>
    <row r="389" spans="1:4" x14ac:dyDescent="0.25">
      <c r="A389" t="str">
        <f>T("   200811")</f>
        <v xml:space="preserve">   200811</v>
      </c>
      <c r="B389" t="str">
        <f>T("   Arachides, préparées ou conservées (sauf confites au sucre)")</f>
        <v xml:space="preserve">   Arachides, préparées ou conservées (sauf confites au sucre)</v>
      </c>
      <c r="C389">
        <v>44000</v>
      </c>
      <c r="D389">
        <v>220</v>
      </c>
    </row>
    <row r="390" spans="1:4" x14ac:dyDescent="0.25">
      <c r="A390" t="str">
        <f>T("   490199")</f>
        <v xml:space="preserve">   490199</v>
      </c>
      <c r="B39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90">
        <v>500000</v>
      </c>
      <c r="D390">
        <v>400</v>
      </c>
    </row>
    <row r="391" spans="1:4" x14ac:dyDescent="0.25">
      <c r="A391" t="str">
        <f>T("   732394")</f>
        <v xml:space="preserve">   732394</v>
      </c>
      <c r="B391" t="s">
        <v>73</v>
      </c>
      <c r="C391">
        <v>200000</v>
      </c>
      <c r="D391">
        <v>300</v>
      </c>
    </row>
    <row r="392" spans="1:4" x14ac:dyDescent="0.25">
      <c r="A392" t="str">
        <f>T("   940350")</f>
        <v xml:space="preserve">   940350</v>
      </c>
      <c r="B392" t="str">
        <f>T("   Meubles pour chambres à coucher, en bois (sauf sièges)")</f>
        <v xml:space="preserve">   Meubles pour chambres à coucher, en bois (sauf sièges)</v>
      </c>
      <c r="C392">
        <v>2300000</v>
      </c>
      <c r="D392">
        <v>2000</v>
      </c>
    </row>
    <row r="393" spans="1:4" x14ac:dyDescent="0.25">
      <c r="A393" t="str">
        <f>T("   940360")</f>
        <v xml:space="preserve">   940360</v>
      </c>
      <c r="B393" t="str">
        <f>T("   Meubles en bois (autres que pour bureaux, cuisines ou chambres à coucher et autres que sièges)")</f>
        <v xml:space="preserve">   Meubles en bois (autres que pour bureaux, cuisines ou chambres à coucher et autres que sièges)</v>
      </c>
      <c r="C393">
        <v>1187288</v>
      </c>
      <c r="D393">
        <v>1320</v>
      </c>
    </row>
    <row r="394" spans="1:4" x14ac:dyDescent="0.25">
      <c r="A394" t="str">
        <f>T("GH")</f>
        <v>GH</v>
      </c>
      <c r="B394" t="str">
        <f>T("Ghana")</f>
        <v>Ghana</v>
      </c>
    </row>
    <row r="395" spans="1:4" x14ac:dyDescent="0.25">
      <c r="A395" t="str">
        <f>T("   ZZ_Total_Produit_SH6")</f>
        <v xml:space="preserve">   ZZ_Total_Produit_SH6</v>
      </c>
      <c r="B395" t="str">
        <f>T("   ZZ_Total_Produit_SH6")</f>
        <v xml:space="preserve">   ZZ_Total_Produit_SH6</v>
      </c>
      <c r="C395">
        <v>1054501171</v>
      </c>
      <c r="D395">
        <v>17179838.699999999</v>
      </c>
    </row>
    <row r="396" spans="1:4" x14ac:dyDescent="0.25">
      <c r="A396" t="str">
        <f>T("   030379")</f>
        <v xml:space="preserve">   030379</v>
      </c>
      <c r="B396" t="s">
        <v>13</v>
      </c>
      <c r="C396">
        <v>94467000</v>
      </c>
      <c r="D396">
        <v>155361</v>
      </c>
    </row>
    <row r="397" spans="1:4" x14ac:dyDescent="0.25">
      <c r="A397" t="str">
        <f>T("   080131")</f>
        <v xml:space="preserve">   080131</v>
      </c>
      <c r="B397" t="str">
        <f>T("   Noix de cajou, fraîches ou sèches, en coques")</f>
        <v xml:space="preserve">   Noix de cajou, fraîches ou sèches, en coques</v>
      </c>
      <c r="C397">
        <v>1800000</v>
      </c>
      <c r="D397">
        <v>13800000</v>
      </c>
    </row>
    <row r="398" spans="1:4" x14ac:dyDescent="0.25">
      <c r="A398" t="str">
        <f>T("   080430")</f>
        <v xml:space="preserve">   080430</v>
      </c>
      <c r="B398" t="str">
        <f>T("   Ananas, frais ou secs")</f>
        <v xml:space="preserve">   Ananas, frais ou secs</v>
      </c>
      <c r="C398">
        <v>412500</v>
      </c>
      <c r="D398">
        <v>825</v>
      </c>
    </row>
    <row r="399" spans="1:4" x14ac:dyDescent="0.25">
      <c r="A399" t="str">
        <f>T("   120100")</f>
        <v xml:space="preserve">   120100</v>
      </c>
      <c r="B399" t="str">
        <f>T("   Fèves de soja, même concassées")</f>
        <v xml:space="preserve">   Fèves de soja, même concassées</v>
      </c>
      <c r="C399">
        <v>8100030</v>
      </c>
      <c r="D399">
        <v>180000</v>
      </c>
    </row>
    <row r="400" spans="1:4" x14ac:dyDescent="0.25">
      <c r="A400" t="str">
        <f>T("   120810")</f>
        <v xml:space="preserve">   120810</v>
      </c>
      <c r="B400" t="str">
        <f>T("   Farine de fèves de soja")</f>
        <v xml:space="preserve">   Farine de fèves de soja</v>
      </c>
      <c r="C400">
        <v>1337625</v>
      </c>
      <c r="D400">
        <v>29725</v>
      </c>
    </row>
    <row r="401" spans="1:4" x14ac:dyDescent="0.25">
      <c r="A401" t="str">
        <f>T("   220110")</f>
        <v xml:space="preserve">   220110</v>
      </c>
      <c r="B401" t="str">
        <f>T("   Eaux minérales et eaux gazéifiées, non additionnées de sucre ou d'autres édulcorants ni aromatisées")</f>
        <v xml:space="preserve">   Eaux minérales et eaux gazéifiées, non additionnées de sucre ou d'autres édulcorants ni aromatisées</v>
      </c>
      <c r="C401">
        <v>3890068</v>
      </c>
      <c r="D401">
        <v>18291</v>
      </c>
    </row>
    <row r="402" spans="1:4" x14ac:dyDescent="0.25">
      <c r="A402" t="str">
        <f>T("   220210")</f>
        <v xml:space="preserve">   220210</v>
      </c>
      <c r="B402"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402">
        <v>5554892</v>
      </c>
      <c r="D402">
        <v>13823</v>
      </c>
    </row>
    <row r="403" spans="1:4" x14ac:dyDescent="0.25">
      <c r="A403" t="str">
        <f>T("   230400")</f>
        <v xml:space="preserve">   230400</v>
      </c>
      <c r="B403"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403">
        <v>118024600</v>
      </c>
      <c r="D403">
        <v>564466</v>
      </c>
    </row>
    <row r="404" spans="1:4" x14ac:dyDescent="0.25">
      <c r="A404" t="str">
        <f>T("   230610")</f>
        <v xml:space="preserve">   230610</v>
      </c>
      <c r="B404"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404">
        <v>267909020</v>
      </c>
      <c r="D404">
        <v>1970226</v>
      </c>
    </row>
    <row r="405" spans="1:4" x14ac:dyDescent="0.25">
      <c r="A405" t="str">
        <f>T("   292910")</f>
        <v xml:space="preserve">   292910</v>
      </c>
      <c r="B405" t="str">
        <f>T("   Isocyanates")</f>
        <v xml:space="preserve">   Isocyanates</v>
      </c>
      <c r="C405">
        <v>35431500</v>
      </c>
      <c r="D405">
        <v>19750</v>
      </c>
    </row>
    <row r="406" spans="1:4" x14ac:dyDescent="0.25">
      <c r="A406" t="str">
        <f>T("   300490")</f>
        <v xml:space="preserve">   300490</v>
      </c>
      <c r="B406" t="s">
        <v>27</v>
      </c>
      <c r="C406">
        <v>21068403</v>
      </c>
      <c r="D406">
        <v>1270</v>
      </c>
    </row>
    <row r="407" spans="1:4" x14ac:dyDescent="0.25">
      <c r="A407" t="str">
        <f>T("   320820")</f>
        <v xml:space="preserve">   320820</v>
      </c>
      <c r="B407" t="s">
        <v>29</v>
      </c>
      <c r="C407">
        <v>30113951</v>
      </c>
      <c r="D407">
        <v>67690</v>
      </c>
    </row>
    <row r="408" spans="1:4" x14ac:dyDescent="0.25">
      <c r="A408" t="str">
        <f>T("   391590")</f>
        <v xml:space="preserve">   391590</v>
      </c>
      <c r="B408"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408">
        <v>687500</v>
      </c>
      <c r="D408">
        <v>27500</v>
      </c>
    </row>
    <row r="409" spans="1:4" x14ac:dyDescent="0.25">
      <c r="A409" t="str">
        <f>T("   392310")</f>
        <v xml:space="preserve">   392310</v>
      </c>
      <c r="B409" t="str">
        <f>T("   Boîtes, caisses, casiers et articles simil. pour le transport ou l'emballage, en matières plastiques")</f>
        <v xml:space="preserve">   Boîtes, caisses, casiers et articles simil. pour le transport ou l'emballage, en matières plastiques</v>
      </c>
      <c r="C409">
        <v>1992200</v>
      </c>
      <c r="D409">
        <v>2135</v>
      </c>
    </row>
    <row r="410" spans="1:4" x14ac:dyDescent="0.25">
      <c r="A410" t="str">
        <f>T("   481029")</f>
        <v xml:space="preserve">   481029</v>
      </c>
      <c r="B410" t="s">
        <v>45</v>
      </c>
      <c r="C410">
        <v>200000</v>
      </c>
      <c r="D410">
        <v>20000</v>
      </c>
    </row>
    <row r="411" spans="1:4" x14ac:dyDescent="0.25">
      <c r="A411" t="str">
        <f>T("   520812")</f>
        <v xml:space="preserve">   520812</v>
      </c>
      <c r="B411" t="str">
        <f>T("   Tissus de coton, écrus, à armure toile, contenant &gt;= 85% en poids de coton, d'un poids &gt; 100 g/m² mais &lt;= 200 g/m²")</f>
        <v xml:space="preserve">   Tissus de coton, écrus, à armure toile, contenant &gt;= 85% en poids de coton, d'un poids &gt; 100 g/m² mais &lt;= 200 g/m²</v>
      </c>
      <c r="C411">
        <v>396566847</v>
      </c>
      <c r="D411">
        <v>184288</v>
      </c>
    </row>
    <row r="412" spans="1:4" x14ac:dyDescent="0.25">
      <c r="A412" t="str">
        <f>T("   540794")</f>
        <v xml:space="preserve">   540794</v>
      </c>
      <c r="B412" t="s">
        <v>50</v>
      </c>
      <c r="C412">
        <v>7540000</v>
      </c>
      <c r="D412">
        <v>2422.6999999999998</v>
      </c>
    </row>
    <row r="413" spans="1:4" x14ac:dyDescent="0.25">
      <c r="A413" t="str">
        <f>T("   581100")</f>
        <v xml:space="preserve">   581100</v>
      </c>
      <c r="B413" t="s">
        <v>51</v>
      </c>
      <c r="C413">
        <v>737500</v>
      </c>
      <c r="D413">
        <v>143</v>
      </c>
    </row>
    <row r="414" spans="1:4" x14ac:dyDescent="0.25">
      <c r="A414" t="str">
        <f>T("   620590")</f>
        <v xml:space="preserve">   620590</v>
      </c>
      <c r="B41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14">
        <v>450000</v>
      </c>
      <c r="D414">
        <v>400</v>
      </c>
    </row>
    <row r="415" spans="1:4" x14ac:dyDescent="0.25">
      <c r="A415" t="str">
        <f>T("   621139")</f>
        <v xml:space="preserve">   621139</v>
      </c>
      <c r="B415"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415">
        <v>840000</v>
      </c>
      <c r="D415">
        <v>66</v>
      </c>
    </row>
    <row r="416" spans="1:4" x14ac:dyDescent="0.25">
      <c r="A416" t="str">
        <f>T("   621600")</f>
        <v xml:space="preserve">   621600</v>
      </c>
      <c r="B416" t="str">
        <f>T("   Gants, mitaines et moufles, en tous types de matières textiles (autres qu'en bonneterie et sauf gants pour bébés)")</f>
        <v xml:space="preserve">   Gants, mitaines et moufles, en tous types de matières textiles (autres qu'en bonneterie et sauf gants pour bébés)</v>
      </c>
      <c r="C416">
        <v>60000</v>
      </c>
      <c r="D416">
        <v>11</v>
      </c>
    </row>
    <row r="417" spans="1:4" x14ac:dyDescent="0.25">
      <c r="A417" t="str">
        <f>T("   630510")</f>
        <v xml:space="preserve">   630510</v>
      </c>
      <c r="B417" t="str">
        <f>T("   Sacs et sachets d'emballage de jute ou d'autres fibres textiles libériennes du n° 5303")</f>
        <v xml:space="preserve">   Sacs et sachets d'emballage de jute ou d'autres fibres textiles libériennes du n° 5303</v>
      </c>
      <c r="C417">
        <v>2970000</v>
      </c>
      <c r="D417">
        <v>19800</v>
      </c>
    </row>
    <row r="418" spans="1:4" x14ac:dyDescent="0.25">
      <c r="A418" t="str">
        <f>T("   640590")</f>
        <v xml:space="preserve">   640590</v>
      </c>
      <c r="B418" t="s">
        <v>58</v>
      </c>
      <c r="C418">
        <v>320250</v>
      </c>
      <c r="D418">
        <v>67</v>
      </c>
    </row>
    <row r="419" spans="1:4" x14ac:dyDescent="0.25">
      <c r="A419" t="str">
        <f>T("   650699")</f>
        <v xml:space="preserve">   650699</v>
      </c>
      <c r="B419" t="str">
        <f>T("   Chapeaux et autres coiffures, même garnis, n.d.a.")</f>
        <v xml:space="preserve">   Chapeaux et autres coiffures, même garnis, n.d.a.</v>
      </c>
      <c r="C419">
        <v>45000</v>
      </c>
      <c r="D419">
        <v>11</v>
      </c>
    </row>
    <row r="420" spans="1:4" x14ac:dyDescent="0.25">
      <c r="A420" t="str">
        <f>T("   720429")</f>
        <v xml:space="preserve">   720429</v>
      </c>
      <c r="B420"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420">
        <v>1000000</v>
      </c>
      <c r="D420">
        <v>20000</v>
      </c>
    </row>
    <row r="421" spans="1:4" x14ac:dyDescent="0.25">
      <c r="A421" t="str">
        <f>T("   721730")</f>
        <v xml:space="preserve">   721730</v>
      </c>
      <c r="B421"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421">
        <v>11984902</v>
      </c>
      <c r="D421">
        <v>19384</v>
      </c>
    </row>
    <row r="422" spans="1:4" x14ac:dyDescent="0.25">
      <c r="A422" t="str">
        <f>T("   732394")</f>
        <v xml:space="preserve">   732394</v>
      </c>
      <c r="B422" t="s">
        <v>73</v>
      </c>
      <c r="C422">
        <v>350000</v>
      </c>
      <c r="D422">
        <v>600</v>
      </c>
    </row>
    <row r="423" spans="1:4" x14ac:dyDescent="0.25">
      <c r="A423" t="str">
        <f>T("   761100")</f>
        <v xml:space="preserve">   761100</v>
      </c>
      <c r="B423" t="s">
        <v>76</v>
      </c>
      <c r="C423">
        <v>2400000</v>
      </c>
      <c r="D423">
        <v>2500</v>
      </c>
    </row>
    <row r="424" spans="1:4" x14ac:dyDescent="0.25">
      <c r="A424" t="str">
        <f>T("   841829")</f>
        <v xml:space="preserve">   841829</v>
      </c>
      <c r="B424" t="str">
        <f>T("   Réfrigérateurs ménagers à absorption, non-électriques")</f>
        <v xml:space="preserve">   Réfrigérateurs ménagers à absorption, non-électriques</v>
      </c>
      <c r="C424">
        <v>552000</v>
      </c>
      <c r="D424">
        <v>4210</v>
      </c>
    </row>
    <row r="425" spans="1:4" x14ac:dyDescent="0.25">
      <c r="A425" t="str">
        <f>T("   842720")</f>
        <v xml:space="preserve">   842720</v>
      </c>
      <c r="B425" t="str">
        <f>T("   Chariots de manutention autopropulsés, autres qu'à moteur électrique, avec dispositif de levage")</f>
        <v xml:space="preserve">   Chariots de manutention autopropulsés, autres qu'à moteur électrique, avec dispositif de levage</v>
      </c>
      <c r="C425">
        <v>6042089</v>
      </c>
      <c r="D425">
        <v>15974</v>
      </c>
    </row>
    <row r="426" spans="1:4" x14ac:dyDescent="0.25">
      <c r="A426" t="str">
        <f>T("   842890")</f>
        <v xml:space="preserve">   842890</v>
      </c>
      <c r="B426" t="str">
        <f>T("   Machines et appareils de levage, chargement, déchargement ou manutention, n.d.a.")</f>
        <v xml:space="preserve">   Machines et appareils de levage, chargement, déchargement ou manutention, n.d.a.</v>
      </c>
      <c r="C426">
        <v>14712320</v>
      </c>
      <c r="D426">
        <v>17000</v>
      </c>
    </row>
    <row r="427" spans="1:4" x14ac:dyDescent="0.25">
      <c r="A427" t="str">
        <f>T("   843120")</f>
        <v xml:space="preserve">   843120</v>
      </c>
      <c r="B427" t="str">
        <f>T("   Parties de chariots-gerbeurs et autres chariots de manutention munis d'un dispositif de levage, n.d.a.")</f>
        <v xml:space="preserve">   Parties de chariots-gerbeurs et autres chariots de manutention munis d'un dispositif de levage, n.d.a.</v>
      </c>
      <c r="C427">
        <v>224030</v>
      </c>
      <c r="D427">
        <v>2000</v>
      </c>
    </row>
    <row r="428" spans="1:4" x14ac:dyDescent="0.25">
      <c r="A428" t="str">
        <f>T("   846239")</f>
        <v xml:space="preserve">   846239</v>
      </c>
      <c r="B428" t="str">
        <f>T("   Machines, y.c. -les presses-, à cisailler, pour le travail des métaux (autres que les machines combinées à poinçonner et à cisailler et autres qu'à commande numérique)")</f>
        <v xml:space="preserve">   Machines, y.c. -les presses-, à cisailler, pour le travail des métaux (autres que les machines combinées à poinçonner et à cisailler et autres qu'à commande numérique)</v>
      </c>
      <c r="C428">
        <v>13516944</v>
      </c>
      <c r="D428">
        <v>17500</v>
      </c>
    </row>
    <row r="429" spans="1:4" x14ac:dyDescent="0.25">
      <c r="A429" t="str">
        <f>T("   940350")</f>
        <v xml:space="preserve">   940350</v>
      </c>
      <c r="B429" t="str">
        <f>T("   Meubles pour chambres à coucher, en bois (sauf sièges)")</f>
        <v xml:space="preserve">   Meubles pour chambres à coucher, en bois (sauf sièges)</v>
      </c>
      <c r="C429">
        <v>700000</v>
      </c>
      <c r="D429">
        <v>1500</v>
      </c>
    </row>
    <row r="430" spans="1:4" x14ac:dyDescent="0.25">
      <c r="A430" t="str">
        <f>T("   940360")</f>
        <v xml:space="preserve">   940360</v>
      </c>
      <c r="B430" t="str">
        <f>T("   Meubles en bois (autres que pour bureaux, cuisines ou chambres à coucher et autres que sièges)")</f>
        <v xml:space="preserve">   Meubles en bois (autres que pour bureaux, cuisines ou chambres à coucher et autres que sièges)</v>
      </c>
      <c r="C430">
        <v>2500000</v>
      </c>
      <c r="D430">
        <v>900</v>
      </c>
    </row>
    <row r="431" spans="1:4" x14ac:dyDescent="0.25">
      <c r="A431" t="str">
        <f>T("GN")</f>
        <v>GN</v>
      </c>
      <c r="B431" t="str">
        <f>T("Guinée")</f>
        <v>Guinée</v>
      </c>
    </row>
    <row r="432" spans="1:4" x14ac:dyDescent="0.25">
      <c r="A432" t="str">
        <f>T("   ZZ_Total_Produit_SH6")</f>
        <v xml:space="preserve">   ZZ_Total_Produit_SH6</v>
      </c>
      <c r="B432" t="str">
        <f>T("   ZZ_Total_Produit_SH6")</f>
        <v xml:space="preserve">   ZZ_Total_Produit_SH6</v>
      </c>
      <c r="C432">
        <v>19080338</v>
      </c>
      <c r="D432">
        <v>27480</v>
      </c>
    </row>
    <row r="433" spans="1:4" x14ac:dyDescent="0.25">
      <c r="A433" t="str">
        <f>T("   200799")</f>
        <v xml:space="preserve">   200799</v>
      </c>
      <c r="B433" t="s">
        <v>18</v>
      </c>
      <c r="C433">
        <v>83886</v>
      </c>
      <c r="D433">
        <v>367</v>
      </c>
    </row>
    <row r="434" spans="1:4" x14ac:dyDescent="0.25">
      <c r="A434" t="str">
        <f>T("   320820")</f>
        <v xml:space="preserve">   320820</v>
      </c>
      <c r="B434" t="s">
        <v>29</v>
      </c>
      <c r="C434">
        <v>517938</v>
      </c>
      <c r="D434">
        <v>2268</v>
      </c>
    </row>
    <row r="435" spans="1:4" x14ac:dyDescent="0.25">
      <c r="A435" t="str">
        <f>T("   392410")</f>
        <v xml:space="preserve">   392410</v>
      </c>
      <c r="B435" t="str">
        <f>T("   Vaisselle et autres articles pour le service de la table ou de la cuisine, en matières plastiques")</f>
        <v xml:space="preserve">   Vaisselle et autres articles pour le service de la table ou de la cuisine, en matières plastiques</v>
      </c>
      <c r="C435">
        <v>155309</v>
      </c>
      <c r="D435">
        <v>680</v>
      </c>
    </row>
    <row r="436" spans="1:4" x14ac:dyDescent="0.25">
      <c r="A436" t="str">
        <f>T("   620590")</f>
        <v xml:space="preserve">   620590</v>
      </c>
      <c r="B43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36">
        <v>500000</v>
      </c>
      <c r="D436">
        <v>500</v>
      </c>
    </row>
    <row r="437" spans="1:4" x14ac:dyDescent="0.25">
      <c r="A437" t="str">
        <f>T("   620799")</f>
        <v xml:space="preserve">   620799</v>
      </c>
      <c r="B437" t="str">
        <f>T("   GILETS DE CORPS, PEIGNOIRS DE BAIN, ROBES DE CHAMBRE ET ARTICLES SIMIL., DE MATIÈRES TEXTILES, POUR HOMMES OU GARÇONNETS (AUTRES QUE DE COTON ET AUTRES QU'EN BONNETERIE ET SAUF SLIPS ET CALEÇONS, CHEMISES DE NUIT ET PYJAMAS)")</f>
        <v xml:space="preserve">   GILETS DE CORPS, PEIGNOIRS DE BAIN, ROBES DE CHAMBRE ET ARTICLES SIMIL., DE MATIÈRES TEXTILES, POUR HOMMES OU GARÇONNETS (AUTRES QUE DE COTON ET AUTRES QU'EN BONNETERIE ET SAUF SLIPS ET CALEÇONS, CHEMISES DE NUIT ET PYJAMAS)</v>
      </c>
      <c r="C437">
        <v>759770</v>
      </c>
      <c r="D437">
        <v>3327</v>
      </c>
    </row>
    <row r="438" spans="1:4" x14ac:dyDescent="0.25">
      <c r="A438" t="str">
        <f>T("   640590")</f>
        <v xml:space="preserve">   640590</v>
      </c>
      <c r="B438" t="s">
        <v>58</v>
      </c>
      <c r="C438">
        <v>71903</v>
      </c>
      <c r="D438">
        <v>315</v>
      </c>
    </row>
    <row r="439" spans="1:4" x14ac:dyDescent="0.25">
      <c r="A439" t="str">
        <f>T("   732394")</f>
        <v xml:space="preserve">   732394</v>
      </c>
      <c r="B439" t="s">
        <v>73</v>
      </c>
      <c r="C439">
        <v>300000</v>
      </c>
      <c r="D439">
        <v>600</v>
      </c>
    </row>
    <row r="440" spans="1:4" x14ac:dyDescent="0.25">
      <c r="A440" t="str">
        <f>T("   761290")</f>
        <v xml:space="preserve">   761290</v>
      </c>
      <c r="B440"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440">
        <v>695058</v>
      </c>
      <c r="D440">
        <v>3043</v>
      </c>
    </row>
    <row r="441" spans="1:4" x14ac:dyDescent="0.25">
      <c r="A441" t="str">
        <f>T("   843049")</f>
        <v xml:space="preserve">   843049</v>
      </c>
      <c r="B441"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441">
        <v>10296474</v>
      </c>
      <c r="D441">
        <v>5000</v>
      </c>
    </row>
    <row r="442" spans="1:4" x14ac:dyDescent="0.25">
      <c r="A442" t="str">
        <f>T("   846190")</f>
        <v xml:space="preserve">   846190</v>
      </c>
      <c r="B442" t="str">
        <f>T("   Machines à raboter et autres machines-outils travaillant par enlèvement de métal, n.d.a.")</f>
        <v xml:space="preserve">   Machines à raboter et autres machines-outils travaillant par enlèvement de métal, n.d.a.</v>
      </c>
      <c r="C442">
        <v>5000000</v>
      </c>
      <c r="D442">
        <v>10480</v>
      </c>
    </row>
    <row r="443" spans="1:4" x14ac:dyDescent="0.25">
      <c r="A443" t="str">
        <f>T("   940350")</f>
        <v xml:space="preserve">   940350</v>
      </c>
      <c r="B443" t="str">
        <f>T("   Meubles pour chambres à coucher, en bois (sauf sièges)")</f>
        <v xml:space="preserve">   Meubles pour chambres à coucher, en bois (sauf sièges)</v>
      </c>
      <c r="C443">
        <v>700000</v>
      </c>
      <c r="D443">
        <v>900</v>
      </c>
    </row>
    <row r="444" spans="1:4" x14ac:dyDescent="0.25">
      <c r="A444" t="str">
        <f>T("GP")</f>
        <v>GP</v>
      </c>
      <c r="B444" t="str">
        <f>T("Guadeloupe")</f>
        <v>Guadeloupe</v>
      </c>
    </row>
    <row r="445" spans="1:4" x14ac:dyDescent="0.25">
      <c r="A445" t="str">
        <f>T("   ZZ_Total_Produit_SH6")</f>
        <v xml:space="preserve">   ZZ_Total_Produit_SH6</v>
      </c>
      <c r="B445" t="str">
        <f>T("   ZZ_Total_Produit_SH6")</f>
        <v xml:space="preserve">   ZZ_Total_Produit_SH6</v>
      </c>
      <c r="C445">
        <v>700000</v>
      </c>
      <c r="D445">
        <v>297</v>
      </c>
    </row>
    <row r="446" spans="1:4" x14ac:dyDescent="0.25">
      <c r="A446" t="str">
        <f>T("   151590")</f>
        <v xml:space="preserve">   151590</v>
      </c>
      <c r="B446" t="s">
        <v>17</v>
      </c>
      <c r="C446">
        <v>700000</v>
      </c>
      <c r="D446">
        <v>297</v>
      </c>
    </row>
    <row r="447" spans="1:4" x14ac:dyDescent="0.25">
      <c r="A447" t="str">
        <f>T("GQ")</f>
        <v>GQ</v>
      </c>
      <c r="B447" t="str">
        <f>T("Guinée Equatoriale")</f>
        <v>Guinée Equatoriale</v>
      </c>
    </row>
    <row r="448" spans="1:4" x14ac:dyDescent="0.25">
      <c r="A448" t="str">
        <f>T("   ZZ_Total_Produit_SH6")</f>
        <v xml:space="preserve">   ZZ_Total_Produit_SH6</v>
      </c>
      <c r="B448" t="str">
        <f>T("   ZZ_Total_Produit_SH6")</f>
        <v xml:space="preserve">   ZZ_Total_Produit_SH6</v>
      </c>
      <c r="C448">
        <v>1599990191</v>
      </c>
      <c r="D448">
        <v>497295</v>
      </c>
    </row>
    <row r="449" spans="1:4" x14ac:dyDescent="0.25">
      <c r="A449" t="str">
        <f>T("   250900")</f>
        <v xml:space="preserve">   250900</v>
      </c>
      <c r="B449" t="str">
        <f>T("   Craie")</f>
        <v xml:space="preserve">   Craie</v>
      </c>
      <c r="C449">
        <v>1860000</v>
      </c>
      <c r="D449">
        <v>450</v>
      </c>
    </row>
    <row r="450" spans="1:4" x14ac:dyDescent="0.25">
      <c r="A450" t="str">
        <f>T("   282410")</f>
        <v xml:space="preserve">   282410</v>
      </c>
      <c r="B450" t="str">
        <f>T("   Monoxyde de plomb [litharge, massicot]")</f>
        <v xml:space="preserve">   Monoxyde de plomb [litharge, massicot]</v>
      </c>
      <c r="C450">
        <v>90000</v>
      </c>
      <c r="D450">
        <v>150</v>
      </c>
    </row>
    <row r="451" spans="1:4" x14ac:dyDescent="0.25">
      <c r="A451" t="str">
        <f>T("   300490")</f>
        <v xml:space="preserve">   300490</v>
      </c>
      <c r="B451" t="s">
        <v>27</v>
      </c>
      <c r="C451">
        <v>24788837</v>
      </c>
      <c r="D451">
        <v>4220</v>
      </c>
    </row>
    <row r="452" spans="1:4" x14ac:dyDescent="0.25">
      <c r="A452" t="str">
        <f>T("   330300")</f>
        <v xml:space="preserve">   330300</v>
      </c>
      <c r="B452"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452">
        <v>338500</v>
      </c>
      <c r="D452">
        <v>250</v>
      </c>
    </row>
    <row r="453" spans="1:4" x14ac:dyDescent="0.25">
      <c r="A453" t="str">
        <f>T("   330499")</f>
        <v xml:space="preserve">   330499</v>
      </c>
      <c r="B453" t="s">
        <v>32</v>
      </c>
      <c r="C453">
        <v>92200</v>
      </c>
      <c r="D453">
        <v>250</v>
      </c>
    </row>
    <row r="454" spans="1:4" x14ac:dyDescent="0.25">
      <c r="A454" t="str">
        <f>T("   340119")</f>
        <v xml:space="preserve">   340119</v>
      </c>
      <c r="B454" t="s">
        <v>34</v>
      </c>
      <c r="C454">
        <v>219300</v>
      </c>
      <c r="D454">
        <v>1800</v>
      </c>
    </row>
    <row r="455" spans="1:4" x14ac:dyDescent="0.25">
      <c r="A455" t="str">
        <f>T("   391729")</f>
        <v xml:space="preserve">   391729</v>
      </c>
      <c r="B455"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455">
        <v>12474600</v>
      </c>
      <c r="D455">
        <v>950</v>
      </c>
    </row>
    <row r="456" spans="1:4" x14ac:dyDescent="0.25">
      <c r="A456" t="str">
        <f>T("   481029")</f>
        <v xml:space="preserve">   481029</v>
      </c>
      <c r="B456" t="s">
        <v>45</v>
      </c>
      <c r="C456">
        <v>4350000</v>
      </c>
      <c r="D456">
        <v>650</v>
      </c>
    </row>
    <row r="457" spans="1:4" x14ac:dyDescent="0.25">
      <c r="A457" t="str">
        <f>T("   700729")</f>
        <v xml:space="preserve">   700729</v>
      </c>
      <c r="B457" t="s">
        <v>62</v>
      </c>
      <c r="C457">
        <v>55000</v>
      </c>
      <c r="D457">
        <v>10</v>
      </c>
    </row>
    <row r="458" spans="1:4" x14ac:dyDescent="0.25">
      <c r="A458" t="str">
        <f>T("   761519")</f>
        <v xml:space="preserve">   761519</v>
      </c>
      <c r="B458" t="s">
        <v>77</v>
      </c>
      <c r="C458">
        <v>60000</v>
      </c>
      <c r="D458">
        <v>12</v>
      </c>
    </row>
    <row r="459" spans="1:4" x14ac:dyDescent="0.25">
      <c r="A459" t="str">
        <f>T("   840790")</f>
        <v xml:space="preserve">   840790</v>
      </c>
      <c r="B459" t="s">
        <v>79</v>
      </c>
      <c r="C459">
        <v>240000</v>
      </c>
      <c r="D459">
        <v>200</v>
      </c>
    </row>
    <row r="460" spans="1:4" x14ac:dyDescent="0.25">
      <c r="A460" t="str">
        <f>T("   841280")</f>
        <v xml:space="preserve">   841280</v>
      </c>
      <c r="B460"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460">
        <v>360000</v>
      </c>
      <c r="D460">
        <v>2000</v>
      </c>
    </row>
    <row r="461" spans="1:4" x14ac:dyDescent="0.25">
      <c r="A461" t="str">
        <f>T("   842920")</f>
        <v xml:space="preserve">   842920</v>
      </c>
      <c r="B461" t="str">
        <f>T("   Niveleuses autopropulsées")</f>
        <v xml:space="preserve">   Niveleuses autopropulsées</v>
      </c>
      <c r="C461">
        <v>71459297</v>
      </c>
      <c r="D461">
        <v>16053</v>
      </c>
    </row>
    <row r="462" spans="1:4" x14ac:dyDescent="0.25">
      <c r="A462" t="str">
        <f>T("   842959")</f>
        <v xml:space="preserve">   842959</v>
      </c>
      <c r="B462"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462">
        <v>183971632</v>
      </c>
      <c r="D462">
        <v>63160</v>
      </c>
    </row>
    <row r="463" spans="1:4" x14ac:dyDescent="0.25">
      <c r="A463" t="str">
        <f>T("   847410")</f>
        <v xml:space="preserve">   847410</v>
      </c>
      <c r="B463"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463">
        <v>2000000</v>
      </c>
      <c r="D463">
        <v>6400</v>
      </c>
    </row>
    <row r="464" spans="1:4" x14ac:dyDescent="0.25">
      <c r="A464" t="str">
        <f>T("   850211")</f>
        <v xml:space="preserve">   850211</v>
      </c>
      <c r="B464" t="s">
        <v>87</v>
      </c>
      <c r="C464">
        <v>6548826</v>
      </c>
      <c r="D464">
        <v>1000</v>
      </c>
    </row>
    <row r="465" spans="1:4" x14ac:dyDescent="0.25">
      <c r="A465" t="str">
        <f>T("   852790")</f>
        <v xml:space="preserve">   852790</v>
      </c>
      <c r="B465" t="str">
        <f>T("   Récepteurs pour la radiotéléphonie, la radiotélégraphie ou la radiodiffusion commerciale")</f>
        <v xml:space="preserve">   Récepteurs pour la radiotéléphonie, la radiotélégraphie ou la radiodiffusion commerciale</v>
      </c>
      <c r="C465">
        <v>200000</v>
      </c>
      <c r="D465">
        <v>12</v>
      </c>
    </row>
    <row r="466" spans="1:4" x14ac:dyDescent="0.25">
      <c r="A466" t="str">
        <f>T("   852812")</f>
        <v xml:space="preserve">   852812</v>
      </c>
      <c r="B466"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466">
        <v>315000</v>
      </c>
      <c r="D466">
        <v>10</v>
      </c>
    </row>
    <row r="467" spans="1:4" x14ac:dyDescent="0.25">
      <c r="A467" t="str">
        <f>T("   852990")</f>
        <v xml:space="preserve">   852990</v>
      </c>
      <c r="B467" t="s">
        <v>92</v>
      </c>
      <c r="C467">
        <v>60000</v>
      </c>
      <c r="D467">
        <v>8</v>
      </c>
    </row>
    <row r="468" spans="1:4" x14ac:dyDescent="0.25">
      <c r="A468" t="str">
        <f>T("   870322")</f>
        <v xml:space="preserve">   870322</v>
      </c>
      <c r="B468" t="s">
        <v>95</v>
      </c>
      <c r="C468">
        <v>23695945</v>
      </c>
      <c r="D468">
        <v>6210</v>
      </c>
    </row>
    <row r="469" spans="1:4" x14ac:dyDescent="0.25">
      <c r="A469" t="str">
        <f>T("   870323")</f>
        <v xml:space="preserve">   870323</v>
      </c>
      <c r="B469" t="s">
        <v>96</v>
      </c>
      <c r="C469">
        <v>32941746</v>
      </c>
      <c r="D469">
        <v>6245</v>
      </c>
    </row>
    <row r="470" spans="1:4" x14ac:dyDescent="0.25">
      <c r="A470" t="str">
        <f>T("   870410")</f>
        <v xml:space="preserve">   870410</v>
      </c>
      <c r="B470" t="str">
        <f>T("   Tombereaux automoteurs utilisés en dehors du réseau routier")</f>
        <v xml:space="preserve">   Tombereaux automoteurs utilisés en dehors du réseau routier</v>
      </c>
      <c r="C470">
        <v>555533910</v>
      </c>
      <c r="D470">
        <v>174880</v>
      </c>
    </row>
    <row r="471" spans="1:4" x14ac:dyDescent="0.25">
      <c r="A471" t="str">
        <f>T("   870422")</f>
        <v xml:space="preserve">   870422</v>
      </c>
      <c r="B471" t="s">
        <v>101</v>
      </c>
      <c r="C471">
        <v>677725398</v>
      </c>
      <c r="D471">
        <v>212000</v>
      </c>
    </row>
    <row r="472" spans="1:4" x14ac:dyDescent="0.25">
      <c r="A472" t="str">
        <f>T("   870790")</f>
        <v xml:space="preserve">   870790</v>
      </c>
      <c r="B472" t="str">
        <f>T("   CARROSSERIES DE TRACTEURS, VÉHICULES POUR LE TRANSPORT DE &gt;= 10 PERSONNES, CHAUFFEUR INCLUS, VÉHICULES POUR LE TRANSPORT DE MARCHANDISES ET VÉHICULES À USAGES SPÉCIAUX")</f>
        <v xml:space="preserve">   CARROSSERIES DE TRACTEURS, VÉHICULES POUR LE TRANSPORT DE &gt;= 10 PERSONNES, CHAUFFEUR INCLUS, VÉHICULES POUR LE TRANSPORT DE MARCHANDISES ET VÉHICULES À USAGES SPÉCIAUX</v>
      </c>
      <c r="C472">
        <v>140000</v>
      </c>
      <c r="D472">
        <v>150</v>
      </c>
    </row>
    <row r="473" spans="1:4" x14ac:dyDescent="0.25">
      <c r="A473" t="str">
        <f>T("   870899")</f>
        <v xml:space="preserve">   870899</v>
      </c>
      <c r="B473"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473">
        <v>150000</v>
      </c>
      <c r="D473">
        <v>45</v>
      </c>
    </row>
    <row r="474" spans="1:4" x14ac:dyDescent="0.25">
      <c r="A474" t="str">
        <f>T("   871110")</f>
        <v xml:space="preserve">   871110</v>
      </c>
      <c r="B474" t="str">
        <f>T("   Cyclomoteurs, à moteur à piston alternatif, cylindrée &lt;= 50 cm³, y.c. cycles à moteur auxiliaire")</f>
        <v xml:space="preserve">   Cyclomoteurs, à moteur à piston alternatif, cylindrée &lt;= 50 cm³, y.c. cycles à moteur auxiliaire</v>
      </c>
      <c r="C474">
        <v>320000</v>
      </c>
      <c r="D474">
        <v>180</v>
      </c>
    </row>
    <row r="475" spans="1:4" x14ac:dyDescent="0.25">
      <c r="A475" t="str">
        <f>T("HK")</f>
        <v>HK</v>
      </c>
      <c r="B475" t="str">
        <f>T("Hong-Kong")</f>
        <v>Hong-Kong</v>
      </c>
    </row>
    <row r="476" spans="1:4" x14ac:dyDescent="0.25">
      <c r="A476" t="str">
        <f>T("   ZZ_Total_Produit_SH6")</f>
        <v xml:space="preserve">   ZZ_Total_Produit_SH6</v>
      </c>
      <c r="B476" t="str">
        <f>T("   ZZ_Total_Produit_SH6")</f>
        <v xml:space="preserve">   ZZ_Total_Produit_SH6</v>
      </c>
      <c r="C476">
        <v>84359255</v>
      </c>
      <c r="D476">
        <v>329389</v>
      </c>
    </row>
    <row r="477" spans="1:4" x14ac:dyDescent="0.25">
      <c r="A477" t="str">
        <f>T("   080131")</f>
        <v xml:space="preserve">   080131</v>
      </c>
      <c r="B477" t="str">
        <f>T("   Noix de cajou, fraîches ou sèches, en coques")</f>
        <v xml:space="preserve">   Noix de cajou, fraîches ou sèches, en coques</v>
      </c>
      <c r="C477">
        <v>82359255</v>
      </c>
      <c r="D477">
        <v>315389</v>
      </c>
    </row>
    <row r="478" spans="1:4" x14ac:dyDescent="0.25">
      <c r="A478" t="str">
        <f>T("   120710")</f>
        <v xml:space="preserve">   120710</v>
      </c>
      <c r="B478" t="str">
        <f>T("   NOIX ET AMANDES DE PALMISTES")</f>
        <v xml:space="preserve">   NOIX ET AMANDES DE PALMISTES</v>
      </c>
      <c r="C478">
        <v>2000000</v>
      </c>
      <c r="D478">
        <v>14000</v>
      </c>
    </row>
    <row r="479" spans="1:4" x14ac:dyDescent="0.25">
      <c r="A479" t="str">
        <f>T("HT")</f>
        <v>HT</v>
      </c>
      <c r="B479" t="str">
        <f>T("Haïti")</f>
        <v>Haïti</v>
      </c>
    </row>
    <row r="480" spans="1:4" x14ac:dyDescent="0.25">
      <c r="A480" t="str">
        <f>T("   ZZ_Total_Produit_SH6")</f>
        <v xml:space="preserve">   ZZ_Total_Produit_SH6</v>
      </c>
      <c r="B480" t="str">
        <f>T("   ZZ_Total_Produit_SH6")</f>
        <v xml:space="preserve">   ZZ_Total_Produit_SH6</v>
      </c>
      <c r="C480">
        <v>2032444</v>
      </c>
      <c r="D480">
        <v>710</v>
      </c>
    </row>
    <row r="481" spans="1:4" x14ac:dyDescent="0.25">
      <c r="A481" t="str">
        <f>T("   620590")</f>
        <v xml:space="preserve">   620590</v>
      </c>
      <c r="B48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81">
        <v>2032444</v>
      </c>
      <c r="D481">
        <v>710</v>
      </c>
    </row>
    <row r="482" spans="1:4" x14ac:dyDescent="0.25">
      <c r="A482" t="str">
        <f>T("ID")</f>
        <v>ID</v>
      </c>
      <c r="B482" t="str">
        <f>T("Indonésie")</f>
        <v>Indonésie</v>
      </c>
    </row>
    <row r="483" spans="1:4" x14ac:dyDescent="0.25">
      <c r="A483" t="str">
        <f>T("   ZZ_Total_Produit_SH6")</f>
        <v xml:space="preserve">   ZZ_Total_Produit_SH6</v>
      </c>
      <c r="B483" t="str">
        <f>T("   ZZ_Total_Produit_SH6")</f>
        <v xml:space="preserve">   ZZ_Total_Produit_SH6</v>
      </c>
      <c r="C483">
        <v>7755223835</v>
      </c>
      <c r="D483">
        <v>11106834</v>
      </c>
    </row>
    <row r="484" spans="1:4" x14ac:dyDescent="0.25">
      <c r="A484" t="str">
        <f>T("   392321")</f>
        <v xml:space="preserve">   392321</v>
      </c>
      <c r="B484" t="str">
        <f>T("   Sacs, sachets, pochettes et cornets, en polymères de l'éthylène")</f>
        <v xml:space="preserve">   Sacs, sachets, pochettes et cornets, en polymères de l'éthylène</v>
      </c>
      <c r="C484">
        <v>11526252</v>
      </c>
      <c r="D484">
        <v>8989</v>
      </c>
    </row>
    <row r="485" spans="1:4" x14ac:dyDescent="0.25">
      <c r="A485" t="str">
        <f>T("   520100")</f>
        <v xml:space="preserve">   520100</v>
      </c>
      <c r="B485" t="str">
        <f>T("   COTON, NON-CARDÉ NI PEIGNÉ")</f>
        <v xml:space="preserve">   COTON, NON-CARDÉ NI PEIGNÉ</v>
      </c>
      <c r="C485">
        <v>7670017315</v>
      </c>
      <c r="D485">
        <v>10605132</v>
      </c>
    </row>
    <row r="486" spans="1:4" x14ac:dyDescent="0.25">
      <c r="A486" t="str">
        <f>T("   520299")</f>
        <v xml:space="preserve">   520299</v>
      </c>
      <c r="B486" t="str">
        <f>T("   Déchets de coton (à l'excl. des déchets de fils et des effilochés)")</f>
        <v xml:space="preserve">   Déchets de coton (à l'excl. des déchets de fils et des effilochés)</v>
      </c>
      <c r="C486">
        <v>13619015</v>
      </c>
      <c r="D486">
        <v>40870</v>
      </c>
    </row>
    <row r="487" spans="1:4" x14ac:dyDescent="0.25">
      <c r="A487" t="str">
        <f>T("   720429")</f>
        <v xml:space="preserve">   720429</v>
      </c>
      <c r="B487"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487">
        <v>1000000</v>
      </c>
      <c r="D487">
        <v>20000</v>
      </c>
    </row>
    <row r="488" spans="1:4" x14ac:dyDescent="0.25">
      <c r="A488" t="str">
        <f>T("   720430")</f>
        <v xml:space="preserve">   720430</v>
      </c>
      <c r="B488"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488">
        <v>10500000</v>
      </c>
      <c r="D488">
        <v>210000</v>
      </c>
    </row>
    <row r="489" spans="1:4" x14ac:dyDescent="0.25">
      <c r="A489" t="str">
        <f>T("   720449")</f>
        <v xml:space="preserve">   720449</v>
      </c>
      <c r="B489" t="s">
        <v>66</v>
      </c>
      <c r="C489">
        <v>7000000</v>
      </c>
      <c r="D489">
        <v>140000</v>
      </c>
    </row>
    <row r="490" spans="1:4" x14ac:dyDescent="0.25">
      <c r="A490" t="str">
        <f>T("   721730")</f>
        <v xml:space="preserve">   721730</v>
      </c>
      <c r="B490"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490">
        <v>10145201</v>
      </c>
      <c r="D490">
        <v>20996</v>
      </c>
    </row>
    <row r="491" spans="1:4" x14ac:dyDescent="0.25">
      <c r="A491" t="str">
        <f>T("   721790")</f>
        <v xml:space="preserve">   721790</v>
      </c>
      <c r="B491"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491">
        <v>21452557</v>
      </c>
      <c r="D491">
        <v>46461</v>
      </c>
    </row>
    <row r="492" spans="1:4" x14ac:dyDescent="0.25">
      <c r="A492" t="str">
        <f>T("   732620")</f>
        <v xml:space="preserve">   732620</v>
      </c>
      <c r="B492" t="str">
        <f>T("   Ouvrages en fil de fer ou d'acier, n.d.a.")</f>
        <v xml:space="preserve">   Ouvrages en fil de fer ou d'acier, n.d.a.</v>
      </c>
      <c r="C492">
        <v>9064978</v>
      </c>
      <c r="D492">
        <v>12956</v>
      </c>
    </row>
    <row r="493" spans="1:4" x14ac:dyDescent="0.25">
      <c r="A493" t="str">
        <f>T("   732690")</f>
        <v xml:space="preserve">   732690</v>
      </c>
      <c r="B49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493">
        <v>898517</v>
      </c>
      <c r="D493">
        <v>1430</v>
      </c>
    </row>
    <row r="494" spans="1:4" x14ac:dyDescent="0.25">
      <c r="A494" t="str">
        <f>T("IN")</f>
        <v>IN</v>
      </c>
      <c r="B494" t="str">
        <f>T("Inde")</f>
        <v>Inde</v>
      </c>
    </row>
    <row r="495" spans="1:4" x14ac:dyDescent="0.25">
      <c r="A495" t="str">
        <f>T("   ZZ_Total_Produit_SH6")</f>
        <v xml:space="preserve">   ZZ_Total_Produit_SH6</v>
      </c>
      <c r="B495" t="str">
        <f>T("   ZZ_Total_Produit_SH6")</f>
        <v xml:space="preserve">   ZZ_Total_Produit_SH6</v>
      </c>
      <c r="C495">
        <v>12317098915</v>
      </c>
      <c r="D495">
        <v>81151311.049999997</v>
      </c>
    </row>
    <row r="496" spans="1:4" x14ac:dyDescent="0.25">
      <c r="A496" t="str">
        <f>T("   040590")</f>
        <v xml:space="preserve">   040590</v>
      </c>
      <c r="B496" t="str">
        <f>T("   Matières grasses provenant du lait ainsi que beurre déshydraté et ghee (à l'excl. du beurre naturel, du beurre recombiné et du beurre de lactosérum)")</f>
        <v xml:space="preserve">   Matières grasses provenant du lait ainsi que beurre déshydraté et ghee (à l'excl. du beurre naturel, du beurre recombiné et du beurre de lactosérum)</v>
      </c>
      <c r="C496">
        <v>1440000</v>
      </c>
      <c r="D496">
        <v>16000</v>
      </c>
    </row>
    <row r="497" spans="1:4" x14ac:dyDescent="0.25">
      <c r="A497" t="str">
        <f>T("   080121")</f>
        <v xml:space="preserve">   080121</v>
      </c>
      <c r="B497" t="str">
        <f>T("   Noix du Brésil, fraîches ou sèches, en coques")</f>
        <v xml:space="preserve">   Noix du Brésil, fraîches ou sèches, en coques</v>
      </c>
      <c r="C497">
        <v>26620000</v>
      </c>
      <c r="D497">
        <v>133100</v>
      </c>
    </row>
    <row r="498" spans="1:4" x14ac:dyDescent="0.25">
      <c r="A498" t="str">
        <f>T("   080131")</f>
        <v xml:space="preserve">   080131</v>
      </c>
      <c r="B498" t="str">
        <f>T("   Noix de cajou, fraîches ou sèches, en coques")</f>
        <v xml:space="preserve">   Noix de cajou, fraîches ou sèches, en coques</v>
      </c>
      <c r="C498">
        <v>8437126706</v>
      </c>
      <c r="D498">
        <v>31993128.120000001</v>
      </c>
    </row>
    <row r="499" spans="1:4" x14ac:dyDescent="0.25">
      <c r="A499" t="str">
        <f>T("   080132")</f>
        <v xml:space="preserve">   080132</v>
      </c>
      <c r="B499" t="str">
        <f>T("   Noix de cajou, fraîches ou sèches, sans coques")</f>
        <v xml:space="preserve">   Noix de cajou, fraîches ou sèches, sans coques</v>
      </c>
      <c r="C499">
        <v>95722890</v>
      </c>
      <c r="D499">
        <v>580000</v>
      </c>
    </row>
    <row r="500" spans="1:4" x14ac:dyDescent="0.25">
      <c r="A500" t="str">
        <f>T("   080211")</f>
        <v xml:space="preserve">   080211</v>
      </c>
      <c r="B500" t="str">
        <f>T("   Amandes, fraîches ou sèches, en coques")</f>
        <v xml:space="preserve">   Amandes, fraîches ou sèches, en coques</v>
      </c>
      <c r="C500">
        <v>4358460</v>
      </c>
      <c r="D500">
        <v>72641</v>
      </c>
    </row>
    <row r="501" spans="1:4" x14ac:dyDescent="0.25">
      <c r="A501" t="str">
        <f>T("   091099")</f>
        <v xml:space="preserve">   091099</v>
      </c>
      <c r="B501" t="s">
        <v>15</v>
      </c>
      <c r="C501">
        <v>2418675</v>
      </c>
      <c r="D501">
        <v>34950</v>
      </c>
    </row>
    <row r="502" spans="1:4" x14ac:dyDescent="0.25">
      <c r="A502" t="str">
        <f>T("   120710")</f>
        <v xml:space="preserve">   120710</v>
      </c>
      <c r="B502" t="str">
        <f>T("   NOIX ET AMANDES DE PALMISTES")</f>
        <v xml:space="preserve">   NOIX ET AMANDES DE PALMISTES</v>
      </c>
      <c r="C502">
        <v>127911615</v>
      </c>
      <c r="D502">
        <v>1176</v>
      </c>
    </row>
    <row r="503" spans="1:4" x14ac:dyDescent="0.25">
      <c r="A503" t="str">
        <f>T("   151219")</f>
        <v xml:space="preserve">   151219</v>
      </c>
      <c r="B503"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503">
        <v>150756583</v>
      </c>
      <c r="D503">
        <v>475380</v>
      </c>
    </row>
    <row r="504" spans="1:4" x14ac:dyDescent="0.25">
      <c r="A504" t="str">
        <f>T("   151590")</f>
        <v xml:space="preserve">   151590</v>
      </c>
      <c r="B504" t="s">
        <v>17</v>
      </c>
      <c r="C504">
        <v>606612720</v>
      </c>
      <c r="D504">
        <v>4332.93</v>
      </c>
    </row>
    <row r="505" spans="1:4" x14ac:dyDescent="0.25">
      <c r="A505" t="str">
        <f>T("   380840")</f>
        <v xml:space="preserve">   380840</v>
      </c>
      <c r="B505"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505">
        <v>39173932</v>
      </c>
      <c r="D505">
        <v>68000</v>
      </c>
    </row>
    <row r="506" spans="1:4" x14ac:dyDescent="0.25">
      <c r="A506" t="str">
        <f>T("   440320")</f>
        <v xml:space="preserve">   440320</v>
      </c>
      <c r="B506" t="s">
        <v>37</v>
      </c>
      <c r="C506">
        <v>123975900</v>
      </c>
      <c r="D506">
        <v>820000</v>
      </c>
    </row>
    <row r="507" spans="1:4" x14ac:dyDescent="0.25">
      <c r="A507" t="str">
        <f>T("   440349")</f>
        <v xml:space="preserve">   440349</v>
      </c>
      <c r="B507" t="s">
        <v>38</v>
      </c>
      <c r="C507">
        <v>29839041</v>
      </c>
      <c r="D507">
        <v>306780</v>
      </c>
    </row>
    <row r="508" spans="1:4" x14ac:dyDescent="0.25">
      <c r="A508" t="str">
        <f>T("   440399")</f>
        <v xml:space="preserve">   440399</v>
      </c>
      <c r="B508" t="s">
        <v>39</v>
      </c>
      <c r="C508">
        <v>206228910</v>
      </c>
      <c r="D508">
        <v>1775000</v>
      </c>
    </row>
    <row r="509" spans="1:4" x14ac:dyDescent="0.25">
      <c r="A509" t="str">
        <f>T("   440500")</f>
        <v xml:space="preserve">   440500</v>
      </c>
      <c r="B509" t="str">
        <f>T("   Laine [paille] de bois; farine de bois, c'est-à-dire la poudre de bois passant, avec au maximum 8% en poids de déchets, au tamis ayant une ouverture de mailles de 0,63 mm")</f>
        <v xml:space="preserve">   Laine [paille] de bois; farine de bois, c'est-à-dire la poudre de bois passant, avec au maximum 8% en poids de déchets, au tamis ayant une ouverture de mailles de 0,63 mm</v>
      </c>
      <c r="C509">
        <v>466443360</v>
      </c>
      <c r="D509">
        <v>3500000</v>
      </c>
    </row>
    <row r="510" spans="1:4" x14ac:dyDescent="0.25">
      <c r="A510" t="str">
        <f>T("   440729")</f>
        <v xml:space="preserve">   440729</v>
      </c>
      <c r="B510" t="s">
        <v>40</v>
      </c>
      <c r="C510">
        <v>308528491</v>
      </c>
      <c r="D510">
        <v>3360500</v>
      </c>
    </row>
    <row r="511" spans="1:4" x14ac:dyDescent="0.25">
      <c r="A511" t="str">
        <f>T("   440799")</f>
        <v xml:space="preserve">   440799</v>
      </c>
      <c r="B511" t="s">
        <v>41</v>
      </c>
      <c r="C511">
        <v>350839817</v>
      </c>
      <c r="D511">
        <v>6485000</v>
      </c>
    </row>
    <row r="512" spans="1:4" x14ac:dyDescent="0.25">
      <c r="A512" t="str">
        <f>T("   570390")</f>
        <v xml:space="preserve">   570390</v>
      </c>
      <c r="B512"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512">
        <v>11123796</v>
      </c>
      <c r="D512">
        <v>633</v>
      </c>
    </row>
    <row r="513" spans="1:4" x14ac:dyDescent="0.25">
      <c r="A513" t="str">
        <f>T("   630510")</f>
        <v xml:space="preserve">   630510</v>
      </c>
      <c r="B513" t="str">
        <f>T("   Sacs et sachets d'emballage de jute ou d'autres fibres textiles libériennes du n° 5303")</f>
        <v xml:space="preserve">   Sacs et sachets d'emballage de jute ou d'autres fibres textiles libériennes du n° 5303</v>
      </c>
      <c r="C513">
        <v>7997871</v>
      </c>
      <c r="D513">
        <v>82420</v>
      </c>
    </row>
    <row r="514" spans="1:4" x14ac:dyDescent="0.25">
      <c r="A514" t="str">
        <f>T("   720429")</f>
        <v xml:space="preserve">   720429</v>
      </c>
      <c r="B514"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514">
        <v>787061200</v>
      </c>
      <c r="D514">
        <v>15798840</v>
      </c>
    </row>
    <row r="515" spans="1:4" x14ac:dyDescent="0.25">
      <c r="A515" t="str">
        <f>T("   720430")</f>
        <v xml:space="preserve">   720430</v>
      </c>
      <c r="B515"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15">
        <v>489624948</v>
      </c>
      <c r="D515">
        <v>14825510</v>
      </c>
    </row>
    <row r="516" spans="1:4" x14ac:dyDescent="0.25">
      <c r="A516" t="str">
        <f>T("   720449")</f>
        <v xml:space="preserve">   720449</v>
      </c>
      <c r="B516" t="s">
        <v>66</v>
      </c>
      <c r="C516">
        <v>36100000</v>
      </c>
      <c r="D516">
        <v>722000</v>
      </c>
    </row>
    <row r="517" spans="1:4" x14ac:dyDescent="0.25">
      <c r="A517" t="str">
        <f>T("   780300")</f>
        <v xml:space="preserve">   780300</v>
      </c>
      <c r="B517" t="str">
        <f>T("   Barres, profilés et fils en plomb, n.d.a.")</f>
        <v xml:space="preserve">   Barres, profilés et fils en plomb, n.d.a.</v>
      </c>
      <c r="C517">
        <v>7194000</v>
      </c>
      <c r="D517">
        <v>95920</v>
      </c>
    </row>
    <row r="518" spans="1:4" x14ac:dyDescent="0.25">
      <c r="A518" t="str">
        <f>T("IT")</f>
        <v>IT</v>
      </c>
      <c r="B518" t="str">
        <f>T("Italie")</f>
        <v>Italie</v>
      </c>
    </row>
    <row r="519" spans="1:4" x14ac:dyDescent="0.25">
      <c r="A519" t="str">
        <f>T("   ZZ_Total_Produit_SH6")</f>
        <v xml:space="preserve">   ZZ_Total_Produit_SH6</v>
      </c>
      <c r="B519" t="str">
        <f>T("   ZZ_Total_Produit_SH6")</f>
        <v xml:space="preserve">   ZZ_Total_Produit_SH6</v>
      </c>
      <c r="C519">
        <v>2598839301</v>
      </c>
      <c r="D519">
        <v>16817390</v>
      </c>
    </row>
    <row r="520" spans="1:4" x14ac:dyDescent="0.25">
      <c r="A520" t="str">
        <f>T("   120720")</f>
        <v xml:space="preserve">   120720</v>
      </c>
      <c r="B520" t="str">
        <f>T("   Graines de coton, même concassées")</f>
        <v xml:space="preserve">   Graines de coton, même concassées</v>
      </c>
      <c r="C520">
        <v>1844167768</v>
      </c>
      <c r="D520">
        <v>15502246</v>
      </c>
    </row>
    <row r="521" spans="1:4" x14ac:dyDescent="0.25">
      <c r="A521" t="str">
        <f>T("   392321")</f>
        <v xml:space="preserve">   392321</v>
      </c>
      <c r="B521" t="str">
        <f>T("   Sacs, sachets, pochettes et cornets, en polymères de l'éthylène")</f>
        <v xml:space="preserve">   Sacs, sachets, pochettes et cornets, en polymères de l'éthylène</v>
      </c>
      <c r="C521">
        <v>1337809</v>
      </c>
      <c r="D521">
        <v>899</v>
      </c>
    </row>
    <row r="522" spans="1:4" x14ac:dyDescent="0.25">
      <c r="A522" t="str">
        <f>T("   440729")</f>
        <v xml:space="preserve">   440729</v>
      </c>
      <c r="B522" t="s">
        <v>40</v>
      </c>
      <c r="C522">
        <v>3542382</v>
      </c>
      <c r="D522">
        <v>20000</v>
      </c>
    </row>
    <row r="523" spans="1:4" x14ac:dyDescent="0.25">
      <c r="A523" t="str">
        <f>T("   440799")</f>
        <v xml:space="preserve">   440799</v>
      </c>
      <c r="B523" t="s">
        <v>41</v>
      </c>
      <c r="C523">
        <v>18195608</v>
      </c>
      <c r="D523">
        <v>22500</v>
      </c>
    </row>
    <row r="524" spans="1:4" x14ac:dyDescent="0.25">
      <c r="A524" t="str">
        <f>T("   440920")</f>
        <v xml:space="preserve">   440920</v>
      </c>
      <c r="B524" t="s">
        <v>42</v>
      </c>
      <c r="C524">
        <v>11597406</v>
      </c>
      <c r="D524">
        <v>13480</v>
      </c>
    </row>
    <row r="525" spans="1:4" x14ac:dyDescent="0.25">
      <c r="A525" t="str">
        <f>T("   520100")</f>
        <v xml:space="preserve">   520100</v>
      </c>
      <c r="B525" t="str">
        <f>T("   COTON, NON-CARDÉ NI PEIGNÉ")</f>
        <v xml:space="preserve">   COTON, NON-CARDÉ NI PEIGNÉ</v>
      </c>
      <c r="C525">
        <v>645865024</v>
      </c>
      <c r="D525">
        <v>883091</v>
      </c>
    </row>
    <row r="526" spans="1:4" x14ac:dyDescent="0.25">
      <c r="A526" t="str">
        <f>T("   720429")</f>
        <v xml:space="preserve">   720429</v>
      </c>
      <c r="B526"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526">
        <v>3750000</v>
      </c>
      <c r="D526">
        <v>75000</v>
      </c>
    </row>
    <row r="527" spans="1:4" x14ac:dyDescent="0.25">
      <c r="A527" t="str">
        <f>T("   720430")</f>
        <v xml:space="preserve">   720430</v>
      </c>
      <c r="B527"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27">
        <v>10750000</v>
      </c>
      <c r="D527">
        <v>215000</v>
      </c>
    </row>
    <row r="528" spans="1:4" x14ac:dyDescent="0.25">
      <c r="A528" t="str">
        <f>T("   732620")</f>
        <v xml:space="preserve">   732620</v>
      </c>
      <c r="B528" t="str">
        <f>T("   Ouvrages en fil de fer ou d'acier, n.d.a.")</f>
        <v xml:space="preserve">   Ouvrages en fil de fer ou d'acier, n.d.a.</v>
      </c>
      <c r="C528">
        <v>1016093</v>
      </c>
      <c r="D528">
        <v>1692</v>
      </c>
    </row>
    <row r="529" spans="1:4" x14ac:dyDescent="0.25">
      <c r="A529" t="str">
        <f>T("   850213")</f>
        <v xml:space="preserve">   850213</v>
      </c>
      <c r="B529" t="s">
        <v>88</v>
      </c>
      <c r="C529">
        <v>55000000</v>
      </c>
      <c r="D529">
        <v>57600</v>
      </c>
    </row>
    <row r="530" spans="1:4" x14ac:dyDescent="0.25">
      <c r="A530" t="str">
        <f>T("   850300")</f>
        <v xml:space="preserve">   850300</v>
      </c>
      <c r="B530"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530">
        <v>114861</v>
      </c>
      <c r="D530">
        <v>905</v>
      </c>
    </row>
    <row r="531" spans="1:4" x14ac:dyDescent="0.25">
      <c r="A531" t="str">
        <f>T("   970300")</f>
        <v xml:space="preserve">   970300</v>
      </c>
      <c r="B531" t="str">
        <f>T("   Productions originales de l'art statuaire ou de la sculpture, en toutes matières")</f>
        <v xml:space="preserve">   Productions originales de l'art statuaire ou de la sculpture, en toutes matières</v>
      </c>
      <c r="C531">
        <v>3502350</v>
      </c>
      <c r="D531">
        <v>24977</v>
      </c>
    </row>
    <row r="532" spans="1:4" x14ac:dyDescent="0.25">
      <c r="A532" t="str">
        <f>T("JP")</f>
        <v>JP</v>
      </c>
      <c r="B532" t="str">
        <f>T("Japon")</f>
        <v>Japon</v>
      </c>
    </row>
    <row r="533" spans="1:4" x14ac:dyDescent="0.25">
      <c r="A533" t="str">
        <f>T("   ZZ_Total_Produit_SH6")</f>
        <v xml:space="preserve">   ZZ_Total_Produit_SH6</v>
      </c>
      <c r="B533" t="str">
        <f>T("   ZZ_Total_Produit_SH6")</f>
        <v xml:space="preserve">   ZZ_Total_Produit_SH6</v>
      </c>
      <c r="C533">
        <v>1250000</v>
      </c>
      <c r="D533">
        <v>16000</v>
      </c>
    </row>
    <row r="534" spans="1:4" x14ac:dyDescent="0.25">
      <c r="A534" t="str">
        <f>T("   720430")</f>
        <v xml:space="preserve">   720430</v>
      </c>
      <c r="B534"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34">
        <v>1250000</v>
      </c>
      <c r="D534">
        <v>16000</v>
      </c>
    </row>
    <row r="535" spans="1:4" x14ac:dyDescent="0.25">
      <c r="A535" t="str">
        <f>T("KP")</f>
        <v>KP</v>
      </c>
      <c r="B535" t="str">
        <f>T("Corée, Rép. Populaire Démocratique")</f>
        <v>Corée, Rép. Populaire Démocratique</v>
      </c>
    </row>
    <row r="536" spans="1:4" x14ac:dyDescent="0.25">
      <c r="A536" t="str">
        <f>T("   ZZ_Total_Produit_SH6")</f>
        <v xml:space="preserve">   ZZ_Total_Produit_SH6</v>
      </c>
      <c r="B536" t="str">
        <f>T("   ZZ_Total_Produit_SH6")</f>
        <v xml:space="preserve">   ZZ_Total_Produit_SH6</v>
      </c>
      <c r="C536">
        <v>3250000</v>
      </c>
      <c r="D536">
        <v>65000</v>
      </c>
    </row>
    <row r="537" spans="1:4" x14ac:dyDescent="0.25">
      <c r="A537" t="str">
        <f>T("   720430")</f>
        <v xml:space="preserve">   720430</v>
      </c>
      <c r="B537"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37">
        <v>3250000</v>
      </c>
      <c r="D537">
        <v>65000</v>
      </c>
    </row>
    <row r="538" spans="1:4" x14ac:dyDescent="0.25">
      <c r="A538" t="str">
        <f>T("KR")</f>
        <v>KR</v>
      </c>
      <c r="B538" t="str">
        <f>T("Corée, République de")</f>
        <v>Corée, République de</v>
      </c>
    </row>
    <row r="539" spans="1:4" x14ac:dyDescent="0.25">
      <c r="A539" t="str">
        <f>T("   ZZ_Total_Produit_SH6")</f>
        <v xml:space="preserve">   ZZ_Total_Produit_SH6</v>
      </c>
      <c r="B539" t="str">
        <f>T("   ZZ_Total_Produit_SH6")</f>
        <v xml:space="preserve">   ZZ_Total_Produit_SH6</v>
      </c>
      <c r="C539">
        <v>126296883</v>
      </c>
      <c r="D539">
        <v>2661620</v>
      </c>
    </row>
    <row r="540" spans="1:4" x14ac:dyDescent="0.25">
      <c r="A540" t="str">
        <f>T("   711299")</f>
        <v xml:space="preserve">   711299</v>
      </c>
      <c r="B540" t="s">
        <v>64</v>
      </c>
      <c r="C540">
        <v>1254300</v>
      </c>
      <c r="D540">
        <v>125430</v>
      </c>
    </row>
    <row r="541" spans="1:4" x14ac:dyDescent="0.25">
      <c r="A541" t="str">
        <f>T("   711320")</f>
        <v xml:space="preserve">   711320</v>
      </c>
      <c r="B541" t="str">
        <f>T("   Articles de bijouterie ou de joaillerie et leurs parties, en plaqués ou doublés de métaux précieux sur métaux communs (sauf &gt; 100 ans)")</f>
        <v xml:space="preserve">   Articles de bijouterie ou de joaillerie et leurs parties, en plaqués ou doublés de métaux précieux sur métaux communs (sauf &gt; 100 ans)</v>
      </c>
      <c r="C541">
        <v>1254300</v>
      </c>
      <c r="D541">
        <v>125430</v>
      </c>
    </row>
    <row r="542" spans="1:4" x14ac:dyDescent="0.25">
      <c r="A542" t="str">
        <f>T("   720299")</f>
        <v xml:space="preserve">   720299</v>
      </c>
      <c r="B542" t="s">
        <v>65</v>
      </c>
      <c r="C542">
        <v>103214500</v>
      </c>
      <c r="D542">
        <v>1858163</v>
      </c>
    </row>
    <row r="543" spans="1:4" x14ac:dyDescent="0.25">
      <c r="A543" t="str">
        <f>T("   720410")</f>
        <v xml:space="preserve">   720410</v>
      </c>
      <c r="B543" t="str">
        <f>T("   DÉCHETS ET DÉBRIS DE FONTE -FERRAILLES- (AUTRES QUE RADIOACTIFS)")</f>
        <v xml:space="preserve">   DÉCHETS ET DÉBRIS DE FONTE -FERRAILLES- (AUTRES QUE RADIOACTIFS)</v>
      </c>
      <c r="C543">
        <v>1254300</v>
      </c>
      <c r="D543">
        <v>125430</v>
      </c>
    </row>
    <row r="544" spans="1:4" x14ac:dyDescent="0.25">
      <c r="A544" t="str">
        <f>T("   720430")</f>
        <v xml:space="preserve">   720430</v>
      </c>
      <c r="B544"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544">
        <v>6250000</v>
      </c>
      <c r="D544">
        <v>125000</v>
      </c>
    </row>
    <row r="545" spans="1:4" x14ac:dyDescent="0.25">
      <c r="A545" t="str">
        <f>T("   720449")</f>
        <v xml:space="preserve">   720449</v>
      </c>
      <c r="B545" t="s">
        <v>66</v>
      </c>
      <c r="C545">
        <v>2500000</v>
      </c>
      <c r="D545">
        <v>50000</v>
      </c>
    </row>
    <row r="546" spans="1:4" x14ac:dyDescent="0.25">
      <c r="A546" t="str">
        <f>T("   740400")</f>
        <v xml:space="preserve">   740400</v>
      </c>
      <c r="B546" t="str">
        <f>T("   Déchets et débris de cuivre (à l'excl. des déchets lingotés ou formes brutes simil., en déchets et débris de cuivre fondus, et sauf cendres et résidus contenant du cuivre et déchets et débris de piles, batteries et accumulateurs électriques)")</f>
        <v xml:space="preserve">   Déchets et débris de cuivre (à l'excl. des déchets lingotés ou formes brutes simil., en déchets et débris de cuivre fondus, et sauf cendres et résidus contenant du cuivre et déchets et débris de piles, batteries et accumulateurs électriques)</v>
      </c>
      <c r="C546">
        <v>1254300</v>
      </c>
      <c r="D546">
        <v>125430</v>
      </c>
    </row>
    <row r="547" spans="1:4" x14ac:dyDescent="0.25">
      <c r="A547" t="str">
        <f>T("   810210")</f>
        <v xml:space="preserve">   810210</v>
      </c>
      <c r="B547" t="str">
        <f>T("   Poudres de molybdène")</f>
        <v xml:space="preserve">   Poudres de molybdène</v>
      </c>
      <c r="C547">
        <v>1254300</v>
      </c>
      <c r="D547">
        <v>125430</v>
      </c>
    </row>
    <row r="548" spans="1:4" x14ac:dyDescent="0.25">
      <c r="A548" t="str">
        <f>T("   870323")</f>
        <v xml:space="preserve">   870323</v>
      </c>
      <c r="B548" t="s">
        <v>96</v>
      </c>
      <c r="C548">
        <v>8060883</v>
      </c>
      <c r="D548">
        <v>1307</v>
      </c>
    </row>
    <row r="549" spans="1:4" x14ac:dyDescent="0.25">
      <c r="A549" t="str">
        <f>T("LB")</f>
        <v>LB</v>
      </c>
      <c r="B549" t="str">
        <f>T("Liban")</f>
        <v>Liban</v>
      </c>
    </row>
    <row r="550" spans="1:4" x14ac:dyDescent="0.25">
      <c r="A550" t="str">
        <f>T("   ZZ_Total_Produit_SH6")</f>
        <v xml:space="preserve">   ZZ_Total_Produit_SH6</v>
      </c>
      <c r="B550" t="str">
        <f>T("   ZZ_Total_Produit_SH6")</f>
        <v xml:space="preserve">   ZZ_Total_Produit_SH6</v>
      </c>
      <c r="C550">
        <v>95909020</v>
      </c>
      <c r="D550">
        <v>18556</v>
      </c>
    </row>
    <row r="551" spans="1:4" x14ac:dyDescent="0.25">
      <c r="A551" t="str">
        <f>T("   080132")</f>
        <v xml:space="preserve">   080132</v>
      </c>
      <c r="B551" t="str">
        <f>T("   Noix de cajou, fraîches ou sèches, sans coques")</f>
        <v xml:space="preserve">   Noix de cajou, fraîches ou sèches, sans coques</v>
      </c>
      <c r="C551">
        <v>33845568</v>
      </c>
      <c r="D551">
        <v>15876</v>
      </c>
    </row>
    <row r="552" spans="1:4" x14ac:dyDescent="0.25">
      <c r="A552" t="str">
        <f>T("   870323")</f>
        <v xml:space="preserve">   870323</v>
      </c>
      <c r="B552" t="s">
        <v>96</v>
      </c>
      <c r="C552">
        <v>62063452</v>
      </c>
      <c r="D552">
        <v>2680</v>
      </c>
    </row>
    <row r="553" spans="1:4" x14ac:dyDescent="0.25">
      <c r="A553" t="str">
        <f>T("LR")</f>
        <v>LR</v>
      </c>
      <c r="B553" t="str">
        <f>T("Libéria")</f>
        <v>Libéria</v>
      </c>
    </row>
    <row r="554" spans="1:4" x14ac:dyDescent="0.25">
      <c r="A554" t="str">
        <f>T("   ZZ_Total_Produit_SH6")</f>
        <v xml:space="preserve">   ZZ_Total_Produit_SH6</v>
      </c>
      <c r="B554" t="str">
        <f>T("   ZZ_Total_Produit_SH6")</f>
        <v xml:space="preserve">   ZZ_Total_Produit_SH6</v>
      </c>
      <c r="C554">
        <v>16747416</v>
      </c>
      <c r="D554">
        <v>4170</v>
      </c>
    </row>
    <row r="555" spans="1:4" x14ac:dyDescent="0.25">
      <c r="A555" t="str">
        <f>T("   491110")</f>
        <v xml:space="preserve">   491110</v>
      </c>
      <c r="B555" t="str">
        <f>T("   Imprimés publicitaires, catalogues commerciaux et simil.")</f>
        <v xml:space="preserve">   Imprimés publicitaires, catalogues commerciaux et simil.</v>
      </c>
      <c r="C555">
        <v>1786250</v>
      </c>
      <c r="D555">
        <v>250</v>
      </c>
    </row>
    <row r="556" spans="1:4" x14ac:dyDescent="0.25">
      <c r="A556" t="str">
        <f>T("   620329")</f>
        <v xml:space="preserve">   620329</v>
      </c>
      <c r="B556"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556">
        <v>1198375</v>
      </c>
      <c r="D556">
        <v>2060</v>
      </c>
    </row>
    <row r="557" spans="1:4" x14ac:dyDescent="0.25">
      <c r="A557" t="str">
        <f>T("   732619")</f>
        <v xml:space="preserve">   732619</v>
      </c>
      <c r="B557"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557">
        <v>10000000</v>
      </c>
      <c r="D557">
        <v>1500</v>
      </c>
    </row>
    <row r="558" spans="1:4" x14ac:dyDescent="0.25">
      <c r="A558" t="str">
        <f>T("   871130")</f>
        <v xml:space="preserve">   871130</v>
      </c>
      <c r="B558" t="str">
        <f>T("   Motocycles à moteur à piston alternatif, cylindrée &gt; 250 cm³ mais &lt;= 500 cm³")</f>
        <v xml:space="preserve">   Motocycles à moteur à piston alternatif, cylindrée &gt; 250 cm³ mais &lt;= 500 cm³</v>
      </c>
      <c r="C558">
        <v>1512791</v>
      </c>
      <c r="D558">
        <v>110</v>
      </c>
    </row>
    <row r="559" spans="1:4" x14ac:dyDescent="0.25">
      <c r="A559" t="str">
        <f>T("   940560")</f>
        <v xml:space="preserve">   940560</v>
      </c>
      <c r="B559"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559">
        <v>2250000</v>
      </c>
      <c r="D559">
        <v>250</v>
      </c>
    </row>
    <row r="560" spans="1:4" x14ac:dyDescent="0.25">
      <c r="A560" t="str">
        <f>T("LY")</f>
        <v>LY</v>
      </c>
      <c r="B560" t="str">
        <f>T("Libyenne, Jamahiriya Arabe")</f>
        <v>Libyenne, Jamahiriya Arabe</v>
      </c>
    </row>
    <row r="561" spans="1:4" x14ac:dyDescent="0.25">
      <c r="A561" t="str">
        <f>T("   ZZ_Total_Produit_SH6")</f>
        <v xml:space="preserve">   ZZ_Total_Produit_SH6</v>
      </c>
      <c r="B561" t="str">
        <f>T("   ZZ_Total_Produit_SH6")</f>
        <v xml:space="preserve">   ZZ_Total_Produit_SH6</v>
      </c>
      <c r="C561">
        <v>13412813</v>
      </c>
      <c r="D561">
        <v>83083</v>
      </c>
    </row>
    <row r="562" spans="1:4" x14ac:dyDescent="0.25">
      <c r="A562" t="str">
        <f>T("   060499")</f>
        <v xml:space="preserve">   060499</v>
      </c>
      <c r="B562" t="str">
        <f>T("   Feuillages, feuilles, rameaux et autres parties de plantes, sans fleurs ni boutons de fleurs, et herbes, pour bouquets ou pour ornements, séchés, blanchis, teints, imprégnés ou autrement travaillés")</f>
        <v xml:space="preserve">   Feuillages, feuilles, rameaux et autres parties de plantes, sans fleurs ni boutons de fleurs, et herbes, pour bouquets ou pour ornements, séchés, blanchis, teints, imprégnés ou autrement travaillés</v>
      </c>
      <c r="C562">
        <v>1650000</v>
      </c>
      <c r="D562">
        <v>11000</v>
      </c>
    </row>
    <row r="563" spans="1:4" x14ac:dyDescent="0.25">
      <c r="A563" t="str">
        <f>T("   080430")</f>
        <v xml:space="preserve">   080430</v>
      </c>
      <c r="B563" t="str">
        <f>T("   Ananas, frais ou secs")</f>
        <v xml:space="preserve">   Ananas, frais ou secs</v>
      </c>
      <c r="C563">
        <v>118000</v>
      </c>
      <c r="D563">
        <v>1000</v>
      </c>
    </row>
    <row r="564" spans="1:4" x14ac:dyDescent="0.25">
      <c r="A564" t="str">
        <f>T("   200899")</f>
        <v xml:space="preserve">   200899</v>
      </c>
      <c r="B564" t="s">
        <v>21</v>
      </c>
      <c r="C564">
        <v>600000</v>
      </c>
      <c r="D564">
        <v>9083</v>
      </c>
    </row>
    <row r="565" spans="1:4" x14ac:dyDescent="0.25">
      <c r="A565" t="str">
        <f>T("   200980")</f>
        <v xml:space="preserve">   200980</v>
      </c>
      <c r="B565"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565">
        <v>4152400</v>
      </c>
      <c r="D565">
        <v>31700</v>
      </c>
    </row>
    <row r="566" spans="1:4" x14ac:dyDescent="0.25">
      <c r="A566" t="str">
        <f>T("   210690")</f>
        <v xml:space="preserve">   210690</v>
      </c>
      <c r="B566" t="str">
        <f>T("   Préparations alimentaires, n.d.a.")</f>
        <v xml:space="preserve">   Préparations alimentaires, n.d.a.</v>
      </c>
      <c r="C566">
        <v>1870000</v>
      </c>
      <c r="D566">
        <v>10200</v>
      </c>
    </row>
    <row r="567" spans="1:4" x14ac:dyDescent="0.25">
      <c r="A567" t="str">
        <f>T("   701090")</f>
        <v xml:space="preserve">   701090</v>
      </c>
      <c r="B567" t="s">
        <v>63</v>
      </c>
      <c r="C567">
        <v>5022413</v>
      </c>
      <c r="D567">
        <v>20100</v>
      </c>
    </row>
    <row r="568" spans="1:4" x14ac:dyDescent="0.25">
      <c r="A568" t="str">
        <f>T("MA")</f>
        <v>MA</v>
      </c>
      <c r="B568" t="str">
        <f>T("Maroc")</f>
        <v>Maroc</v>
      </c>
    </row>
    <row r="569" spans="1:4" x14ac:dyDescent="0.25">
      <c r="A569" t="str">
        <f>T("   ZZ_Total_Produit_SH6")</f>
        <v xml:space="preserve">   ZZ_Total_Produit_SH6</v>
      </c>
      <c r="B569" t="str">
        <f>T("   ZZ_Total_Produit_SH6")</f>
        <v xml:space="preserve">   ZZ_Total_Produit_SH6</v>
      </c>
      <c r="C569">
        <v>1740757094</v>
      </c>
      <c r="D569">
        <v>2017327</v>
      </c>
    </row>
    <row r="570" spans="1:4" x14ac:dyDescent="0.25">
      <c r="A570" t="str">
        <f>T("   080131")</f>
        <v xml:space="preserve">   080131</v>
      </c>
      <c r="B570" t="str">
        <f>T("   Noix de cajou, fraîches ou sèches, en coques")</f>
        <v xml:space="preserve">   Noix de cajou, fraîches ou sèches, en coques</v>
      </c>
      <c r="C570">
        <v>74562973</v>
      </c>
      <c r="D570">
        <v>189450</v>
      </c>
    </row>
    <row r="571" spans="1:4" x14ac:dyDescent="0.25">
      <c r="A571" t="str">
        <f>T("   080430")</f>
        <v xml:space="preserve">   080430</v>
      </c>
      <c r="B571" t="str">
        <f>T("   Ananas, frais ou secs")</f>
        <v xml:space="preserve">   Ananas, frais ou secs</v>
      </c>
      <c r="C571">
        <v>300000</v>
      </c>
      <c r="D571">
        <v>1000</v>
      </c>
    </row>
    <row r="572" spans="1:4" x14ac:dyDescent="0.25">
      <c r="A572" t="str">
        <f>T("   091010")</f>
        <v xml:space="preserve">   091010</v>
      </c>
      <c r="B572" t="str">
        <f>T("   Gingembre")</f>
        <v xml:space="preserve">   Gingembre</v>
      </c>
      <c r="C572">
        <v>5090583</v>
      </c>
      <c r="D572">
        <v>51360</v>
      </c>
    </row>
    <row r="573" spans="1:4" x14ac:dyDescent="0.25">
      <c r="A573" t="str">
        <f>T("   200820")</f>
        <v xml:space="preserve">   200820</v>
      </c>
      <c r="B573" t="s">
        <v>20</v>
      </c>
      <c r="C573">
        <v>1311920</v>
      </c>
      <c r="D573">
        <v>20000</v>
      </c>
    </row>
    <row r="574" spans="1:4" x14ac:dyDescent="0.25">
      <c r="A574" t="str">
        <f>T("   200980")</f>
        <v xml:space="preserve">   200980</v>
      </c>
      <c r="B574"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574">
        <v>500000</v>
      </c>
      <c r="D574">
        <v>9166</v>
      </c>
    </row>
    <row r="575" spans="1:4" x14ac:dyDescent="0.25">
      <c r="A575" t="str">
        <f>T("   392321")</f>
        <v xml:space="preserve">   392321</v>
      </c>
      <c r="B575" t="str">
        <f>T("   Sacs, sachets, pochettes et cornets, en polymères de l'éthylène")</f>
        <v xml:space="preserve">   Sacs, sachets, pochettes et cornets, en polymères de l'éthylène</v>
      </c>
      <c r="C575">
        <v>2188732</v>
      </c>
      <c r="D575">
        <v>1551</v>
      </c>
    </row>
    <row r="576" spans="1:4" x14ac:dyDescent="0.25">
      <c r="A576" t="str">
        <f>T("   441820")</f>
        <v xml:space="preserve">   441820</v>
      </c>
      <c r="B576" t="str">
        <f>T("   Portes et leurs cadres, chambranles et seuils, en bois")</f>
        <v xml:space="preserve">   Portes et leurs cadres, chambranles et seuils, en bois</v>
      </c>
      <c r="C576">
        <v>850000</v>
      </c>
      <c r="D576">
        <v>1800</v>
      </c>
    </row>
    <row r="577" spans="1:4" x14ac:dyDescent="0.25">
      <c r="A577" t="str">
        <f>T("   490199")</f>
        <v xml:space="preserve">   490199</v>
      </c>
      <c r="B57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77">
        <v>300000</v>
      </c>
      <c r="D577">
        <v>500</v>
      </c>
    </row>
    <row r="578" spans="1:4" x14ac:dyDescent="0.25">
      <c r="A578" t="str">
        <f>T("   520100")</f>
        <v xml:space="preserve">   520100</v>
      </c>
      <c r="B578" t="str">
        <f>T("   COTON, NON-CARDÉ NI PEIGNÉ")</f>
        <v xml:space="preserve">   COTON, NON-CARDÉ NI PEIGNÉ</v>
      </c>
      <c r="C578">
        <v>1015075774</v>
      </c>
      <c r="D578">
        <v>1393084</v>
      </c>
    </row>
    <row r="579" spans="1:4" x14ac:dyDescent="0.25">
      <c r="A579" t="str">
        <f>T("   721790")</f>
        <v xml:space="preserve">   721790</v>
      </c>
      <c r="B579"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579">
        <v>1277331</v>
      </c>
      <c r="D579">
        <v>2766</v>
      </c>
    </row>
    <row r="580" spans="1:4" x14ac:dyDescent="0.25">
      <c r="A580" t="str">
        <f>T("   730840")</f>
        <v xml:space="preserve">   730840</v>
      </c>
      <c r="B580"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580">
        <v>28750727</v>
      </c>
      <c r="D580">
        <v>25500</v>
      </c>
    </row>
    <row r="581" spans="1:4" x14ac:dyDescent="0.25">
      <c r="A581" t="str">
        <f>T("   732394")</f>
        <v xml:space="preserve">   732394</v>
      </c>
      <c r="B581" t="s">
        <v>73</v>
      </c>
      <c r="C581">
        <v>700000</v>
      </c>
      <c r="D581">
        <v>1100</v>
      </c>
    </row>
    <row r="582" spans="1:4" x14ac:dyDescent="0.25">
      <c r="A582" t="str">
        <f>T("   732620")</f>
        <v xml:space="preserve">   732620</v>
      </c>
      <c r="B582" t="str">
        <f>T("   Ouvrages en fil de fer ou d'acier, n.d.a.")</f>
        <v xml:space="preserve">   Ouvrages en fil de fer ou d'acier, n.d.a.</v>
      </c>
      <c r="C582">
        <v>1415008</v>
      </c>
      <c r="D582">
        <v>2218</v>
      </c>
    </row>
    <row r="583" spans="1:4" x14ac:dyDescent="0.25">
      <c r="A583" t="str">
        <f>T("   842649")</f>
        <v xml:space="preserve">   842649</v>
      </c>
      <c r="B583" t="str">
        <f>T("   Bigues et chariots-grues et appareils autopropulsés (autres que sur pneumatiques et sauf chariots-cavaliers)")</f>
        <v xml:space="preserve">   Bigues et chariots-grues et appareils autopropulsés (autres que sur pneumatiques et sauf chariots-cavaliers)</v>
      </c>
      <c r="C583">
        <v>190553100</v>
      </c>
      <c r="D583">
        <v>166912</v>
      </c>
    </row>
    <row r="584" spans="1:4" x14ac:dyDescent="0.25">
      <c r="A584" t="str">
        <f>T("   842951")</f>
        <v xml:space="preserve">   842951</v>
      </c>
      <c r="B584" t="str">
        <f>T("   Chargeuses et chargeuses-pelleteuses, à chargement frontal, autopropulsées")</f>
        <v xml:space="preserve">   Chargeuses et chargeuses-pelleteuses, à chargement frontal, autopropulsées</v>
      </c>
      <c r="C584">
        <v>368231017</v>
      </c>
      <c r="D584">
        <v>133305</v>
      </c>
    </row>
    <row r="585" spans="1:4" x14ac:dyDescent="0.25">
      <c r="A585" t="str">
        <f>T("   870322")</f>
        <v xml:space="preserve">   870322</v>
      </c>
      <c r="B585" t="s">
        <v>95</v>
      </c>
      <c r="C585">
        <v>4713341</v>
      </c>
      <c r="D585">
        <v>3330</v>
      </c>
    </row>
    <row r="586" spans="1:4" x14ac:dyDescent="0.25">
      <c r="A586" t="str">
        <f>T("   870323")</f>
        <v xml:space="preserve">   870323</v>
      </c>
      <c r="B586" t="s">
        <v>96</v>
      </c>
      <c r="C586">
        <v>18535688</v>
      </c>
      <c r="D586">
        <v>1230</v>
      </c>
    </row>
    <row r="587" spans="1:4" x14ac:dyDescent="0.25">
      <c r="A587" t="str">
        <f>T("   870324")</f>
        <v xml:space="preserve">   870324</v>
      </c>
      <c r="B587" t="s">
        <v>97</v>
      </c>
      <c r="C587">
        <v>6635196</v>
      </c>
      <c r="D587">
        <v>2435</v>
      </c>
    </row>
    <row r="588" spans="1:4" x14ac:dyDescent="0.25">
      <c r="A588" t="str">
        <f>T("   940350")</f>
        <v xml:space="preserve">   940350</v>
      </c>
      <c r="B588" t="str">
        <f>T("   Meubles pour chambres à coucher, en bois (sauf sièges)")</f>
        <v xml:space="preserve">   Meubles pour chambres à coucher, en bois (sauf sièges)</v>
      </c>
      <c r="C588">
        <v>1000000</v>
      </c>
      <c r="D588">
        <v>2400</v>
      </c>
    </row>
    <row r="589" spans="1:4" x14ac:dyDescent="0.25">
      <c r="A589" t="str">
        <f>T("   940360")</f>
        <v xml:space="preserve">   940360</v>
      </c>
      <c r="B589" t="str">
        <f>T("   Meubles en bois (autres que pour bureaux, cuisines ou chambres à coucher et autres que sièges)")</f>
        <v xml:space="preserve">   Meubles en bois (autres que pour bureaux, cuisines ou chambres à coucher et autres que sièges)</v>
      </c>
      <c r="C589">
        <v>18765704</v>
      </c>
      <c r="D589">
        <v>8220</v>
      </c>
    </row>
    <row r="590" spans="1:4" x14ac:dyDescent="0.25">
      <c r="A590" t="str">
        <f>T("ML")</f>
        <v>ML</v>
      </c>
      <c r="B590" t="str">
        <f>T("Mali")</f>
        <v>Mali</v>
      </c>
    </row>
    <row r="591" spans="1:4" x14ac:dyDescent="0.25">
      <c r="A591" t="str">
        <f>T("   ZZ_Total_Produit_SH6")</f>
        <v xml:space="preserve">   ZZ_Total_Produit_SH6</v>
      </c>
      <c r="B591" t="str">
        <f>T("   ZZ_Total_Produit_SH6")</f>
        <v xml:space="preserve">   ZZ_Total_Produit_SH6</v>
      </c>
      <c r="C591">
        <v>126463326</v>
      </c>
      <c r="D591">
        <v>91639</v>
      </c>
    </row>
    <row r="592" spans="1:4" x14ac:dyDescent="0.25">
      <c r="A592" t="str">
        <f>T("   200949")</f>
        <v xml:space="preserve">   200949</v>
      </c>
      <c r="B592"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592">
        <v>2200000</v>
      </c>
      <c r="D592">
        <v>6000</v>
      </c>
    </row>
    <row r="593" spans="1:4" x14ac:dyDescent="0.25">
      <c r="A593" t="str">
        <f>T("   320890")</f>
        <v xml:space="preserve">   320890</v>
      </c>
      <c r="B593" t="s">
        <v>30</v>
      </c>
      <c r="C593">
        <v>900000</v>
      </c>
      <c r="D593">
        <v>1600</v>
      </c>
    </row>
    <row r="594" spans="1:4" x14ac:dyDescent="0.25">
      <c r="A594" t="str">
        <f>T("   620590")</f>
        <v xml:space="preserve">   620590</v>
      </c>
      <c r="B59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94">
        <v>400000</v>
      </c>
      <c r="D594">
        <v>300</v>
      </c>
    </row>
    <row r="595" spans="1:4" x14ac:dyDescent="0.25">
      <c r="A595" t="str">
        <f>T("   732394")</f>
        <v xml:space="preserve">   732394</v>
      </c>
      <c r="B595" t="s">
        <v>73</v>
      </c>
      <c r="C595">
        <v>300000</v>
      </c>
      <c r="D595">
        <v>450</v>
      </c>
    </row>
    <row r="596" spans="1:4" x14ac:dyDescent="0.25">
      <c r="A596" t="str">
        <f>T("   841381")</f>
        <v xml:space="preserve">   841381</v>
      </c>
      <c r="B596" t="s">
        <v>81</v>
      </c>
      <c r="C596">
        <v>11712166</v>
      </c>
      <c r="D596">
        <v>1600</v>
      </c>
    </row>
    <row r="597" spans="1:4" x14ac:dyDescent="0.25">
      <c r="A597" t="str">
        <f>T("   841582")</f>
        <v xml:space="preserve">   841582</v>
      </c>
      <c r="B597" t="s">
        <v>83</v>
      </c>
      <c r="C597">
        <v>650000</v>
      </c>
      <c r="D597">
        <v>2500</v>
      </c>
    </row>
    <row r="598" spans="1:4" x14ac:dyDescent="0.25">
      <c r="A598" t="str">
        <f>T("   852910")</f>
        <v xml:space="preserve">   852910</v>
      </c>
      <c r="B598"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598">
        <v>1500000</v>
      </c>
      <c r="D598">
        <v>239</v>
      </c>
    </row>
    <row r="599" spans="1:4" x14ac:dyDescent="0.25">
      <c r="A599" t="str">
        <f>T("   860900")</f>
        <v xml:space="preserve">   860900</v>
      </c>
      <c r="B599"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599">
        <v>10025000</v>
      </c>
      <c r="D599">
        <v>32500</v>
      </c>
    </row>
    <row r="600" spans="1:4" x14ac:dyDescent="0.25">
      <c r="A600" t="str">
        <f>T("   870422")</f>
        <v xml:space="preserve">   870422</v>
      </c>
      <c r="B600" t="s">
        <v>101</v>
      </c>
      <c r="C600">
        <v>93646160</v>
      </c>
      <c r="D600">
        <v>39600</v>
      </c>
    </row>
    <row r="601" spans="1:4" x14ac:dyDescent="0.25">
      <c r="A601" t="str">
        <f>T("   901010")</f>
        <v xml:space="preserve">   901010</v>
      </c>
      <c r="B601" t="s">
        <v>106</v>
      </c>
      <c r="C601">
        <v>780000</v>
      </c>
      <c r="D601">
        <v>600</v>
      </c>
    </row>
    <row r="602" spans="1:4" x14ac:dyDescent="0.25">
      <c r="A602" t="str">
        <f>T("   940350")</f>
        <v xml:space="preserve">   940350</v>
      </c>
      <c r="B602" t="str">
        <f>T("   Meubles pour chambres à coucher, en bois (sauf sièges)")</f>
        <v xml:space="preserve">   Meubles pour chambres à coucher, en bois (sauf sièges)</v>
      </c>
      <c r="C602">
        <v>800000</v>
      </c>
      <c r="D602">
        <v>750</v>
      </c>
    </row>
    <row r="603" spans="1:4" x14ac:dyDescent="0.25">
      <c r="A603" t="str">
        <f>T("   940360")</f>
        <v xml:space="preserve">   940360</v>
      </c>
      <c r="B603" t="str">
        <f>T("   Meubles en bois (autres que pour bureaux, cuisines ou chambres à coucher et autres que sièges)")</f>
        <v xml:space="preserve">   Meubles en bois (autres que pour bureaux, cuisines ou chambres à coucher et autres que sièges)</v>
      </c>
      <c r="C603">
        <v>1000000</v>
      </c>
      <c r="D603">
        <v>1000</v>
      </c>
    </row>
    <row r="604" spans="1:4" x14ac:dyDescent="0.25">
      <c r="A604" t="str">
        <f>T("   940600")</f>
        <v xml:space="preserve">   940600</v>
      </c>
      <c r="B604" t="str">
        <f>T("   Constructions préfabriquées, même incomplètes ou non encore montées")</f>
        <v xml:space="preserve">   Constructions préfabriquées, même incomplètes ou non encore montées</v>
      </c>
      <c r="C604">
        <v>2550000</v>
      </c>
      <c r="D604">
        <v>4500</v>
      </c>
    </row>
    <row r="605" spans="1:4" x14ac:dyDescent="0.25">
      <c r="A605" t="str">
        <f>T("MR")</f>
        <v>MR</v>
      </c>
      <c r="B605" t="str">
        <f>T("Mauritanie")</f>
        <v>Mauritanie</v>
      </c>
    </row>
    <row r="606" spans="1:4" x14ac:dyDescent="0.25">
      <c r="A606" t="str">
        <f>T("   ZZ_Total_Produit_SH6")</f>
        <v xml:space="preserve">   ZZ_Total_Produit_SH6</v>
      </c>
      <c r="B606" t="str">
        <f>T("   ZZ_Total_Produit_SH6")</f>
        <v xml:space="preserve">   ZZ_Total_Produit_SH6</v>
      </c>
      <c r="C606">
        <v>1200000</v>
      </c>
      <c r="D606">
        <v>2200</v>
      </c>
    </row>
    <row r="607" spans="1:4" x14ac:dyDescent="0.25">
      <c r="A607" t="str">
        <f>T("   940380")</f>
        <v xml:space="preserve">   940380</v>
      </c>
      <c r="B607" t="str">
        <f>T("   Meubles en rotin, osier, bambou ou autres matières (sauf métal, bois et matières plastiques)")</f>
        <v xml:space="preserve">   Meubles en rotin, osier, bambou ou autres matières (sauf métal, bois et matières plastiques)</v>
      </c>
      <c r="C607">
        <v>1200000</v>
      </c>
      <c r="D607">
        <v>2200</v>
      </c>
    </row>
    <row r="608" spans="1:4" x14ac:dyDescent="0.25">
      <c r="A608" t="str">
        <f>T("MU")</f>
        <v>MU</v>
      </c>
      <c r="B608" t="str">
        <f>T("Maurice, île")</f>
        <v>Maurice, île</v>
      </c>
    </row>
    <row r="609" spans="1:4" x14ac:dyDescent="0.25">
      <c r="A609" t="str">
        <f>T("   ZZ_Total_Produit_SH6")</f>
        <v xml:space="preserve">   ZZ_Total_Produit_SH6</v>
      </c>
      <c r="B609" t="str">
        <f>T("   ZZ_Total_Produit_SH6")</f>
        <v xml:space="preserve">   ZZ_Total_Produit_SH6</v>
      </c>
      <c r="C609">
        <v>288311297</v>
      </c>
      <c r="D609">
        <v>406836</v>
      </c>
    </row>
    <row r="610" spans="1:4" x14ac:dyDescent="0.25">
      <c r="A610" t="str">
        <f>T("   520100")</f>
        <v xml:space="preserve">   520100</v>
      </c>
      <c r="B610" t="str">
        <f>T("   COTON, NON-CARDÉ NI PEIGNÉ")</f>
        <v xml:space="preserve">   COTON, NON-CARDÉ NI PEIGNÉ</v>
      </c>
      <c r="C610">
        <v>286019872</v>
      </c>
      <c r="D610">
        <v>399039</v>
      </c>
    </row>
    <row r="611" spans="1:4" x14ac:dyDescent="0.25">
      <c r="A611" t="str">
        <f>T("   721790")</f>
        <v xml:space="preserve">   721790</v>
      </c>
      <c r="B611"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611">
        <v>1291425</v>
      </c>
      <c r="D611">
        <v>2797</v>
      </c>
    </row>
    <row r="612" spans="1:4" x14ac:dyDescent="0.25">
      <c r="A612" t="str">
        <f>T("   940360")</f>
        <v xml:space="preserve">   940360</v>
      </c>
      <c r="B612" t="str">
        <f>T("   Meubles en bois (autres que pour bureaux, cuisines ou chambres à coucher et autres que sièges)")</f>
        <v xml:space="preserve">   Meubles en bois (autres que pour bureaux, cuisines ou chambres à coucher et autres que sièges)</v>
      </c>
      <c r="C612">
        <v>1000000</v>
      </c>
      <c r="D612">
        <v>5000</v>
      </c>
    </row>
    <row r="613" spans="1:4" x14ac:dyDescent="0.25">
      <c r="A613" t="str">
        <f>T("MY")</f>
        <v>MY</v>
      </c>
      <c r="B613" t="str">
        <f>T("Malaisie")</f>
        <v>Malaisie</v>
      </c>
    </row>
    <row r="614" spans="1:4" x14ac:dyDescent="0.25">
      <c r="A614" t="str">
        <f>T("   ZZ_Total_Produit_SH6")</f>
        <v xml:space="preserve">   ZZ_Total_Produit_SH6</v>
      </c>
      <c r="B614" t="str">
        <f>T("   ZZ_Total_Produit_SH6")</f>
        <v xml:space="preserve">   ZZ_Total_Produit_SH6</v>
      </c>
      <c r="C614">
        <v>3979715687</v>
      </c>
      <c r="D614">
        <v>5528573</v>
      </c>
    </row>
    <row r="615" spans="1:4" x14ac:dyDescent="0.25">
      <c r="A615" t="str">
        <f>T("   151590")</f>
        <v xml:space="preserve">   151590</v>
      </c>
      <c r="B615" t="s">
        <v>17</v>
      </c>
      <c r="C615">
        <v>88707553</v>
      </c>
      <c r="D615">
        <v>205620</v>
      </c>
    </row>
    <row r="616" spans="1:4" x14ac:dyDescent="0.25">
      <c r="A616" t="str">
        <f>T("   392321")</f>
        <v xml:space="preserve">   392321</v>
      </c>
      <c r="B616" t="str">
        <f>T("   Sacs, sachets, pochettes et cornets, en polymères de l'éthylène")</f>
        <v xml:space="preserve">   Sacs, sachets, pochettes et cornets, en polymères de l'éthylène</v>
      </c>
      <c r="C616">
        <v>4196475</v>
      </c>
      <c r="D616">
        <v>3611</v>
      </c>
    </row>
    <row r="617" spans="1:4" x14ac:dyDescent="0.25">
      <c r="A617" t="str">
        <f>T("   520100")</f>
        <v xml:space="preserve">   520100</v>
      </c>
      <c r="B617" t="str">
        <f>T("   COTON, NON-CARDÉ NI PEIGNÉ")</f>
        <v xml:space="preserve">   COTON, NON-CARDÉ NI PEIGNÉ</v>
      </c>
      <c r="C617">
        <v>3870982651</v>
      </c>
      <c r="D617">
        <v>5269264</v>
      </c>
    </row>
    <row r="618" spans="1:4" x14ac:dyDescent="0.25">
      <c r="A618" t="str">
        <f>T("   720429")</f>
        <v xml:space="preserve">   720429</v>
      </c>
      <c r="B618"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618">
        <v>1000000</v>
      </c>
      <c r="D618">
        <v>20000</v>
      </c>
    </row>
    <row r="619" spans="1:4" x14ac:dyDescent="0.25">
      <c r="A619" t="str">
        <f>T("   721730")</f>
        <v xml:space="preserve">   721730</v>
      </c>
      <c r="B619"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619">
        <v>751195</v>
      </c>
      <c r="D619">
        <v>1627</v>
      </c>
    </row>
    <row r="620" spans="1:4" x14ac:dyDescent="0.25">
      <c r="A620" t="str">
        <f>T("   721790")</f>
        <v xml:space="preserve">   721790</v>
      </c>
      <c r="B620"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620">
        <v>10006658</v>
      </c>
      <c r="D620">
        <v>21671</v>
      </c>
    </row>
    <row r="621" spans="1:4" x14ac:dyDescent="0.25">
      <c r="A621" t="str">
        <f>T("   732620")</f>
        <v xml:space="preserve">   732620</v>
      </c>
      <c r="B621" t="str">
        <f>T("   Ouvrages en fil de fer ou d'acier, n.d.a.")</f>
        <v xml:space="preserve">   Ouvrages en fil de fer ou d'acier, n.d.a.</v>
      </c>
      <c r="C621">
        <v>4071155</v>
      </c>
      <c r="D621">
        <v>6780</v>
      </c>
    </row>
    <row r="622" spans="1:4" x14ac:dyDescent="0.25">
      <c r="A622" t="str">
        <f>T("MZ")</f>
        <v>MZ</v>
      </c>
      <c r="B622" t="str">
        <f>T("Mozambique")</f>
        <v>Mozambique</v>
      </c>
    </row>
    <row r="623" spans="1:4" x14ac:dyDescent="0.25">
      <c r="A623" t="str">
        <f>T("   ZZ_Total_Produit_SH6")</f>
        <v xml:space="preserve">   ZZ_Total_Produit_SH6</v>
      </c>
      <c r="B623" t="str">
        <f>T("   ZZ_Total_Produit_SH6")</f>
        <v xml:space="preserve">   ZZ_Total_Produit_SH6</v>
      </c>
      <c r="C623">
        <v>6670939</v>
      </c>
      <c r="D623">
        <v>4330</v>
      </c>
    </row>
    <row r="624" spans="1:4" x14ac:dyDescent="0.25">
      <c r="A624" t="str">
        <f>T("   620590")</f>
        <v xml:space="preserve">   620590</v>
      </c>
      <c r="B62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24">
        <v>600000</v>
      </c>
      <c r="D624">
        <v>600</v>
      </c>
    </row>
    <row r="625" spans="1:4" x14ac:dyDescent="0.25">
      <c r="A625" t="str">
        <f>T("   732394")</f>
        <v xml:space="preserve">   732394</v>
      </c>
      <c r="B625" t="s">
        <v>73</v>
      </c>
      <c r="C625">
        <v>400000</v>
      </c>
      <c r="D625">
        <v>400</v>
      </c>
    </row>
    <row r="626" spans="1:4" x14ac:dyDescent="0.25">
      <c r="A626" t="str">
        <f>T("   847990")</f>
        <v xml:space="preserve">   847990</v>
      </c>
      <c r="B626" t="str">
        <f>T("   Parties de machines et appareils, y.c. les appareils mécaniques, n.d.a.")</f>
        <v xml:space="preserve">   Parties de machines et appareils, y.c. les appareils mécaniques, n.d.a.</v>
      </c>
      <c r="C626">
        <v>1599169</v>
      </c>
      <c r="D626">
        <v>2000</v>
      </c>
    </row>
    <row r="627" spans="1:4" x14ac:dyDescent="0.25">
      <c r="A627" t="str">
        <f>T("   870323")</f>
        <v xml:space="preserve">   870323</v>
      </c>
      <c r="B627" t="s">
        <v>96</v>
      </c>
      <c r="C627">
        <v>4071770</v>
      </c>
      <c r="D627">
        <v>1330</v>
      </c>
    </row>
    <row r="628" spans="1:4" x14ac:dyDescent="0.25">
      <c r="A628" t="str">
        <f>T("NE")</f>
        <v>NE</v>
      </c>
      <c r="B628" t="str">
        <f>T("Niger")</f>
        <v>Niger</v>
      </c>
    </row>
    <row r="629" spans="1:4" x14ac:dyDescent="0.25">
      <c r="A629" t="str">
        <f>T("   ZZ_Total_Produit_SH6")</f>
        <v xml:space="preserve">   ZZ_Total_Produit_SH6</v>
      </c>
      <c r="B629" t="str">
        <f>T("   ZZ_Total_Produit_SH6")</f>
        <v xml:space="preserve">   ZZ_Total_Produit_SH6</v>
      </c>
      <c r="C629">
        <v>7027969966</v>
      </c>
      <c r="D629">
        <v>34691079</v>
      </c>
    </row>
    <row r="630" spans="1:4" x14ac:dyDescent="0.25">
      <c r="A630" t="str">
        <f>T("   040221")</f>
        <v xml:space="preserve">   040221</v>
      </c>
      <c r="B630"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630">
        <v>95678000</v>
      </c>
      <c r="D630">
        <v>42500</v>
      </c>
    </row>
    <row r="631" spans="1:4" x14ac:dyDescent="0.25">
      <c r="A631" t="str">
        <f>T("   040310")</f>
        <v xml:space="preserve">   040310</v>
      </c>
      <c r="B631" t="str">
        <f>T("   Yoghourts, même additionnés de sucre ou d'autres édulcorants ou aromatisés ou additionnés de fruits ou de cacao")</f>
        <v xml:space="preserve">   Yoghourts, même additionnés de sucre ou d'autres édulcorants ou aromatisés ou additionnés de fruits ou de cacao</v>
      </c>
      <c r="C631">
        <v>9000000</v>
      </c>
      <c r="D631">
        <v>3500</v>
      </c>
    </row>
    <row r="632" spans="1:4" x14ac:dyDescent="0.25">
      <c r="A632" t="str">
        <f>T("   100590")</f>
        <v xml:space="preserve">   100590</v>
      </c>
      <c r="B632" t="str">
        <f>T("   Maïs (autre que de semence)")</f>
        <v xml:space="preserve">   Maïs (autre que de semence)</v>
      </c>
      <c r="C632">
        <v>4763748460</v>
      </c>
      <c r="D632">
        <v>27169010</v>
      </c>
    </row>
    <row r="633" spans="1:4" x14ac:dyDescent="0.25">
      <c r="A633" t="str">
        <f>T("   100630")</f>
        <v xml:space="preserve">   100630</v>
      </c>
      <c r="B633" t="str">
        <f>T("   Riz semi-blanchi ou blanchi, même poli ou glacé")</f>
        <v xml:space="preserve">   Riz semi-blanchi ou blanchi, même poli ou glacé</v>
      </c>
      <c r="C633">
        <v>4800000</v>
      </c>
      <c r="D633">
        <v>32000</v>
      </c>
    </row>
    <row r="634" spans="1:4" x14ac:dyDescent="0.25">
      <c r="A634" t="str">
        <f>T("   110100")</f>
        <v xml:space="preserve">   110100</v>
      </c>
      <c r="B634" t="str">
        <f>T("   Farines de froment [blé] ou de méteil")</f>
        <v xml:space="preserve">   Farines de froment [blé] ou de méteil</v>
      </c>
      <c r="C634">
        <v>115200000</v>
      </c>
      <c r="D634">
        <v>720000</v>
      </c>
    </row>
    <row r="635" spans="1:4" x14ac:dyDescent="0.25">
      <c r="A635" t="str">
        <f>T("   110423")</f>
        <v xml:space="preserve">   110423</v>
      </c>
      <c r="B635" t="str">
        <f>T("   Grains de maïs, mondés, perlés, tranchés, concassés ou autrement travaillés (à l'excl. de la farine de maïs)")</f>
        <v xml:space="preserve">   Grains de maïs, mondés, perlés, tranchés, concassés ou autrement travaillés (à l'excl. de la farine de maïs)</v>
      </c>
      <c r="C635">
        <v>67605000</v>
      </c>
      <c r="D635">
        <v>210000</v>
      </c>
    </row>
    <row r="636" spans="1:4" x14ac:dyDescent="0.25">
      <c r="A636" t="str">
        <f>T("   120710")</f>
        <v xml:space="preserve">   120710</v>
      </c>
      <c r="B636" t="str">
        <f>T("   NOIX ET AMANDES DE PALMISTES")</f>
        <v xml:space="preserve">   NOIX ET AMANDES DE PALMISTES</v>
      </c>
      <c r="C636">
        <v>19677792</v>
      </c>
      <c r="D636">
        <v>204977</v>
      </c>
    </row>
    <row r="637" spans="1:4" x14ac:dyDescent="0.25">
      <c r="A637" t="str">
        <f>T("   120720")</f>
        <v xml:space="preserve">   120720</v>
      </c>
      <c r="B637" t="str">
        <f>T("   Graines de coton, même concassées")</f>
        <v xml:space="preserve">   Graines de coton, même concassées</v>
      </c>
      <c r="C637">
        <v>190513658</v>
      </c>
      <c r="D637">
        <v>1531279</v>
      </c>
    </row>
    <row r="638" spans="1:4" x14ac:dyDescent="0.25">
      <c r="A638" t="str">
        <f>T("   170490")</f>
        <v xml:space="preserve">   170490</v>
      </c>
      <c r="B638" t="str">
        <f>T("   Sucreries sans cacao, y.c. le chocolat blanc (à l'excl. des gommes à mâcher)")</f>
        <v xml:space="preserve">   Sucreries sans cacao, y.c. le chocolat blanc (à l'excl. des gommes à mâcher)</v>
      </c>
      <c r="C638">
        <v>49044000</v>
      </c>
      <c r="D638">
        <v>72958</v>
      </c>
    </row>
    <row r="639" spans="1:4" x14ac:dyDescent="0.25">
      <c r="A639" t="str">
        <f>T("   200949")</f>
        <v xml:space="preserve">   200949</v>
      </c>
      <c r="B63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639">
        <v>5500000</v>
      </c>
      <c r="D639">
        <v>17000</v>
      </c>
    </row>
    <row r="640" spans="1:4" x14ac:dyDescent="0.25">
      <c r="A640" t="str">
        <f>T("   220870")</f>
        <v xml:space="preserve">   220870</v>
      </c>
      <c r="B640" t="str">
        <f>T("   LIQUEURS")</f>
        <v xml:space="preserve">   LIQUEURS</v>
      </c>
      <c r="C640">
        <v>9162000</v>
      </c>
      <c r="D640">
        <v>46750</v>
      </c>
    </row>
    <row r="641" spans="1:4" x14ac:dyDescent="0.25">
      <c r="A641" t="str">
        <f>T("   300590")</f>
        <v xml:space="preserve">   300590</v>
      </c>
      <c r="B641" t="s">
        <v>28</v>
      </c>
      <c r="C641">
        <v>10200000</v>
      </c>
      <c r="D641">
        <v>2355</v>
      </c>
    </row>
    <row r="642" spans="1:4" x14ac:dyDescent="0.25">
      <c r="A642" t="str">
        <f>T("   391721")</f>
        <v xml:space="preserve">   391721</v>
      </c>
      <c r="B642" t="str">
        <f>T("   TUBES ET TUYAUX RIGIDES, EN POLYMÈRES DE L'ÉTHYLÈNE")</f>
        <v xml:space="preserve">   TUBES ET TUYAUX RIGIDES, EN POLYMÈRES DE L'ÉTHYLÈNE</v>
      </c>
      <c r="C642">
        <v>7014000</v>
      </c>
      <c r="D642">
        <v>12525</v>
      </c>
    </row>
    <row r="643" spans="1:4" x14ac:dyDescent="0.25">
      <c r="A643" t="str">
        <f>T("   482020")</f>
        <v xml:space="preserve">   482020</v>
      </c>
      <c r="B643" t="str">
        <f>T("   Cahiers pour l'écriture, en papier ou carton")</f>
        <v xml:space="preserve">   Cahiers pour l'écriture, en papier ou carton</v>
      </c>
      <c r="C643">
        <v>61071500</v>
      </c>
      <c r="D643">
        <v>181397</v>
      </c>
    </row>
    <row r="644" spans="1:4" x14ac:dyDescent="0.25">
      <c r="A644" t="str">
        <f>T("   490700")</f>
        <v xml:space="preserve">   490700</v>
      </c>
      <c r="B644" t="s">
        <v>46</v>
      </c>
      <c r="C644">
        <v>2200000</v>
      </c>
      <c r="D644">
        <v>1015</v>
      </c>
    </row>
    <row r="645" spans="1:4" x14ac:dyDescent="0.25">
      <c r="A645" t="str">
        <f>T("   520812")</f>
        <v xml:space="preserve">   520812</v>
      </c>
      <c r="B645" t="str">
        <f>T("   Tissus de coton, écrus, à armure toile, contenant &gt;= 85% en poids de coton, d'un poids &gt; 100 g/m² mais &lt;= 200 g/m²")</f>
        <v xml:space="preserve">   Tissus de coton, écrus, à armure toile, contenant &gt;= 85% en poids de coton, d'un poids &gt; 100 g/m² mais &lt;= 200 g/m²</v>
      </c>
      <c r="C645">
        <v>612855040</v>
      </c>
      <c r="D645">
        <v>341428</v>
      </c>
    </row>
    <row r="646" spans="1:4" x14ac:dyDescent="0.25">
      <c r="A646" t="str">
        <f>T("   620329")</f>
        <v xml:space="preserve">   620329</v>
      </c>
      <c r="B646"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646">
        <v>4201452</v>
      </c>
      <c r="D646">
        <v>282</v>
      </c>
    </row>
    <row r="647" spans="1:4" x14ac:dyDescent="0.25">
      <c r="A647" t="str">
        <f>T("   621040")</f>
        <v xml:space="preserve">   621040</v>
      </c>
      <c r="B647" t="s">
        <v>55</v>
      </c>
      <c r="C647">
        <v>5000000</v>
      </c>
      <c r="D647">
        <v>1500</v>
      </c>
    </row>
    <row r="648" spans="1:4" x14ac:dyDescent="0.25">
      <c r="A648" t="str">
        <f>T("   630419")</f>
        <v xml:space="preserve">   630419</v>
      </c>
      <c r="B648" t="str">
        <f>T("   Couvre-lits en tous types de matières textiles (autres qu'en bonneterie et sauf linge de lit, couvre-pieds et édredons)")</f>
        <v xml:space="preserve">   Couvre-lits en tous types de matières textiles (autres qu'en bonneterie et sauf linge de lit, couvre-pieds et édredons)</v>
      </c>
      <c r="C648">
        <v>48188307</v>
      </c>
      <c r="D648">
        <v>249534</v>
      </c>
    </row>
    <row r="649" spans="1:4" x14ac:dyDescent="0.25">
      <c r="A649" t="str">
        <f>T("   721391")</f>
        <v xml:space="preserve">   721391</v>
      </c>
      <c r="B649"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649">
        <v>120698281</v>
      </c>
      <c r="D649">
        <v>424000</v>
      </c>
    </row>
    <row r="650" spans="1:4" x14ac:dyDescent="0.25">
      <c r="A650" t="str">
        <f>T("   721590")</f>
        <v xml:space="preserve">   721590</v>
      </c>
      <c r="B650"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650">
        <v>741680000</v>
      </c>
      <c r="D650">
        <v>3361000</v>
      </c>
    </row>
    <row r="651" spans="1:4" x14ac:dyDescent="0.25">
      <c r="A651" t="str">
        <f>T("   721730")</f>
        <v xml:space="preserve">   721730</v>
      </c>
      <c r="B651"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651">
        <v>715257</v>
      </c>
      <c r="D651">
        <v>1593</v>
      </c>
    </row>
    <row r="652" spans="1:4" x14ac:dyDescent="0.25">
      <c r="A652" t="str">
        <f>T("   721790")</f>
        <v xml:space="preserve">   721790</v>
      </c>
      <c r="B652"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652">
        <v>2140000</v>
      </c>
      <c r="D652">
        <v>5000</v>
      </c>
    </row>
    <row r="653" spans="1:4" x14ac:dyDescent="0.25">
      <c r="A653" t="str">
        <f>T("   731700")</f>
        <v xml:space="preserve">   731700</v>
      </c>
      <c r="B653"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653">
        <v>9000000</v>
      </c>
      <c r="D653">
        <v>30000</v>
      </c>
    </row>
    <row r="654" spans="1:4" x14ac:dyDescent="0.25">
      <c r="A654" t="str">
        <f>T("   841430")</f>
        <v xml:space="preserve">   841430</v>
      </c>
      <c r="B654" t="str">
        <f>T("   Compresseurs des types utilisés pour équipements frigorifiques")</f>
        <v xml:space="preserve">   Compresseurs des types utilisés pour équipements frigorifiques</v>
      </c>
      <c r="C654">
        <v>1805400</v>
      </c>
      <c r="D654">
        <v>1250</v>
      </c>
    </row>
    <row r="655" spans="1:4" x14ac:dyDescent="0.25">
      <c r="A655" t="str">
        <f>T("   842940")</f>
        <v xml:space="preserve">   842940</v>
      </c>
      <c r="B655" t="str">
        <f>T("   Rouleaux compresseurs et autres compacteuses, autopropulsés")</f>
        <v xml:space="preserve">   Rouleaux compresseurs et autres compacteuses, autopropulsés</v>
      </c>
      <c r="C655">
        <v>3000000</v>
      </c>
      <c r="D655">
        <v>10400</v>
      </c>
    </row>
    <row r="656" spans="1:4" x14ac:dyDescent="0.25">
      <c r="A656" t="str">
        <f>T("   851999")</f>
        <v xml:space="preserve">   851999</v>
      </c>
      <c r="B656"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656">
        <v>32351180</v>
      </c>
      <c r="D656">
        <v>2170</v>
      </c>
    </row>
    <row r="657" spans="1:4" x14ac:dyDescent="0.25">
      <c r="A657" t="str">
        <f>T("   870322")</f>
        <v xml:space="preserve">   870322</v>
      </c>
      <c r="B657" t="s">
        <v>95</v>
      </c>
      <c r="C657">
        <v>1200000</v>
      </c>
      <c r="D657">
        <v>1450</v>
      </c>
    </row>
    <row r="658" spans="1:4" x14ac:dyDescent="0.25">
      <c r="A658" t="str">
        <f>T("   870323")</f>
        <v xml:space="preserve">   870323</v>
      </c>
      <c r="B658" t="s">
        <v>96</v>
      </c>
      <c r="C658">
        <v>15982515</v>
      </c>
      <c r="D658">
        <v>7330</v>
      </c>
    </row>
    <row r="659" spans="1:4" x14ac:dyDescent="0.25">
      <c r="A659" t="str">
        <f>T("   870431")</f>
        <v xml:space="preserve">   870431</v>
      </c>
      <c r="B659" t="s">
        <v>103</v>
      </c>
      <c r="C659">
        <v>5089806</v>
      </c>
      <c r="D659">
        <v>1824</v>
      </c>
    </row>
    <row r="660" spans="1:4" x14ac:dyDescent="0.25">
      <c r="A660" t="str">
        <f>T("   940330")</f>
        <v xml:space="preserve">   940330</v>
      </c>
      <c r="B660" t="str">
        <f>T("   Meubles de bureau en bois (sauf sièges)")</f>
        <v xml:space="preserve">   Meubles de bureau en bois (sauf sièges)</v>
      </c>
      <c r="C660">
        <v>950950</v>
      </c>
      <c r="D660">
        <v>2000</v>
      </c>
    </row>
    <row r="661" spans="1:4" x14ac:dyDescent="0.25">
      <c r="A661" t="str">
        <f>T("   940350")</f>
        <v xml:space="preserve">   940350</v>
      </c>
      <c r="B661" t="str">
        <f>T("   Meubles pour chambres à coucher, en bois (sauf sièges)")</f>
        <v xml:space="preserve">   Meubles pour chambres à coucher, en bois (sauf sièges)</v>
      </c>
      <c r="C661">
        <v>1000000</v>
      </c>
      <c r="D661">
        <v>800</v>
      </c>
    </row>
    <row r="662" spans="1:4" x14ac:dyDescent="0.25">
      <c r="A662" t="str">
        <f>T("   940360")</f>
        <v xml:space="preserve">   940360</v>
      </c>
      <c r="B662" t="str">
        <f>T("   Meubles en bois (autres que pour bureaux, cuisines ou chambres à coucher et autres que sièges)")</f>
        <v xml:space="preserve">   Meubles en bois (autres que pour bureaux, cuisines ou chambres à coucher et autres que sièges)</v>
      </c>
      <c r="C662">
        <v>11697368</v>
      </c>
      <c r="D662">
        <v>2252</v>
      </c>
    </row>
    <row r="663" spans="1:4" x14ac:dyDescent="0.25">
      <c r="A663" t="str">
        <f>T("NF")</f>
        <v>NF</v>
      </c>
      <c r="B663" t="str">
        <f>T("Norfolk, île")</f>
        <v>Norfolk, île</v>
      </c>
    </row>
    <row r="664" spans="1:4" x14ac:dyDescent="0.25">
      <c r="A664" t="str">
        <f>T("   ZZ_Total_Produit_SH6")</f>
        <v xml:space="preserve">   ZZ_Total_Produit_SH6</v>
      </c>
      <c r="B664" t="str">
        <f>T("   ZZ_Total_Produit_SH6")</f>
        <v xml:space="preserve">   ZZ_Total_Produit_SH6</v>
      </c>
      <c r="C664">
        <v>26997600</v>
      </c>
      <c r="D664">
        <v>64280</v>
      </c>
    </row>
    <row r="665" spans="1:4" x14ac:dyDescent="0.25">
      <c r="A665" t="str">
        <f>T("   151110")</f>
        <v xml:space="preserve">   151110</v>
      </c>
      <c r="B665" t="str">
        <f>T("   Huile de palme, brute")</f>
        <v xml:space="preserve">   Huile de palme, brute</v>
      </c>
      <c r="C665">
        <v>26997600</v>
      </c>
      <c r="D665">
        <v>64280</v>
      </c>
    </row>
    <row r="666" spans="1:4" x14ac:dyDescent="0.25">
      <c r="A666" t="str">
        <f>T("NG")</f>
        <v>NG</v>
      </c>
      <c r="B666" t="str">
        <f>T("Nigéria")</f>
        <v>Nigéria</v>
      </c>
    </row>
    <row r="667" spans="1:4" x14ac:dyDescent="0.25">
      <c r="A667" t="str">
        <f>T("   ZZ_Total_Produit_SH6")</f>
        <v xml:space="preserve">   ZZ_Total_Produit_SH6</v>
      </c>
      <c r="B667" t="str">
        <f>T("   ZZ_Total_Produit_SH6")</f>
        <v xml:space="preserve">   ZZ_Total_Produit_SH6</v>
      </c>
      <c r="C667">
        <v>106442281675</v>
      </c>
      <c r="D667">
        <v>638340284.35000002</v>
      </c>
    </row>
    <row r="668" spans="1:4" x14ac:dyDescent="0.25">
      <c r="A668" t="str">
        <f>T("   020714")</f>
        <v xml:space="preserve">   020714</v>
      </c>
      <c r="B668" t="str">
        <f>T("   Morceaux et abats comestibles de coqs et de poules [des espèces domestiques], congelés")</f>
        <v xml:space="preserve">   Morceaux et abats comestibles de coqs et de poules [des espèces domestiques], congelés</v>
      </c>
      <c r="C668">
        <v>35924167077</v>
      </c>
      <c r="D668">
        <v>42130447</v>
      </c>
    </row>
    <row r="669" spans="1:4" x14ac:dyDescent="0.25">
      <c r="A669" t="str">
        <f>T("   020727")</f>
        <v xml:space="preserve">   020727</v>
      </c>
      <c r="B669" t="str">
        <f>T("   Morceaux et abats comestibles de dindes et dindons [des espèces domestiques], congelés")</f>
        <v xml:space="preserve">   Morceaux et abats comestibles de dindes et dindons [des espèces domestiques], congelés</v>
      </c>
      <c r="C669">
        <v>11123327494</v>
      </c>
      <c r="D669">
        <v>13006529</v>
      </c>
    </row>
    <row r="670" spans="1:4" x14ac:dyDescent="0.25">
      <c r="A670" t="str">
        <f>T("   040310")</f>
        <v xml:space="preserve">   040310</v>
      </c>
      <c r="B670" t="str">
        <f>T("   Yoghourts, même additionnés de sucre ou d'autres édulcorants ou aromatisés ou additionnés de fruits ou de cacao")</f>
        <v xml:space="preserve">   Yoghourts, même additionnés de sucre ou d'autres édulcorants ou aromatisés ou additionnés de fruits ou de cacao</v>
      </c>
      <c r="C670">
        <v>8000000</v>
      </c>
      <c r="D670">
        <v>4500</v>
      </c>
    </row>
    <row r="671" spans="1:4" x14ac:dyDescent="0.25">
      <c r="A671" t="str">
        <f>T("   080131")</f>
        <v xml:space="preserve">   080131</v>
      </c>
      <c r="B671" t="str">
        <f>T("   Noix de cajou, fraîches ou sèches, en coques")</f>
        <v xml:space="preserve">   Noix de cajou, fraîches ou sèches, en coques</v>
      </c>
      <c r="C671">
        <v>2300400</v>
      </c>
      <c r="D671">
        <v>11502</v>
      </c>
    </row>
    <row r="672" spans="1:4" x14ac:dyDescent="0.25">
      <c r="A672" t="str">
        <f>T("   100630")</f>
        <v xml:space="preserve">   100630</v>
      </c>
      <c r="B672" t="str">
        <f>T("   Riz semi-blanchi ou blanchi, même poli ou glacé")</f>
        <v xml:space="preserve">   Riz semi-blanchi ou blanchi, même poli ou glacé</v>
      </c>
      <c r="C672">
        <v>45170739362</v>
      </c>
      <c r="D672">
        <v>552377525</v>
      </c>
    </row>
    <row r="673" spans="1:4" x14ac:dyDescent="0.25">
      <c r="A673" t="str">
        <f>T("   100890")</f>
        <v xml:space="preserve">   100890</v>
      </c>
      <c r="B673"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673">
        <v>5488000</v>
      </c>
      <c r="D673">
        <v>156800</v>
      </c>
    </row>
    <row r="674" spans="1:4" x14ac:dyDescent="0.25">
      <c r="A674" t="str">
        <f>T("   120710")</f>
        <v xml:space="preserve">   120710</v>
      </c>
      <c r="B674" t="str">
        <f>T("   NOIX ET AMANDES DE PALMISTES")</f>
        <v xml:space="preserve">   NOIX ET AMANDES DE PALMISTES</v>
      </c>
      <c r="C674">
        <v>64524530</v>
      </c>
      <c r="D674">
        <v>160792</v>
      </c>
    </row>
    <row r="675" spans="1:4" x14ac:dyDescent="0.25">
      <c r="A675" t="str">
        <f>T("   120720")</f>
        <v xml:space="preserve">   120720</v>
      </c>
      <c r="B675" t="str">
        <f>T("   Graines de coton, même concassées")</f>
        <v xml:space="preserve">   Graines de coton, même concassées</v>
      </c>
      <c r="C675">
        <v>111647718</v>
      </c>
      <c r="D675">
        <v>1101550</v>
      </c>
    </row>
    <row r="676" spans="1:4" x14ac:dyDescent="0.25">
      <c r="A676" t="str">
        <f>T("   150790")</f>
        <v xml:space="preserve">   150790</v>
      </c>
      <c r="B676" t="str">
        <f>T("   Huile de soja et ses fractions, même raffinées, mais non chimiquement modifiées (à l'excl. de l'huile de soja brute)")</f>
        <v xml:space="preserve">   Huile de soja et ses fractions, même raffinées, mais non chimiquement modifiées (à l'excl. de l'huile de soja brute)</v>
      </c>
      <c r="C676">
        <v>53882400</v>
      </c>
      <c r="D676">
        <v>101620</v>
      </c>
    </row>
    <row r="677" spans="1:4" x14ac:dyDescent="0.25">
      <c r="A677" t="str">
        <f>T("   151110")</f>
        <v xml:space="preserve">   151110</v>
      </c>
      <c r="B677" t="str">
        <f>T("   Huile de palme, brute")</f>
        <v xml:space="preserve">   Huile de palme, brute</v>
      </c>
      <c r="C677">
        <v>949529020</v>
      </c>
      <c r="D677">
        <v>2117870</v>
      </c>
    </row>
    <row r="678" spans="1:4" x14ac:dyDescent="0.25">
      <c r="A678" t="str">
        <f>T("   151190")</f>
        <v xml:space="preserve">   151190</v>
      </c>
      <c r="B678" t="str">
        <f>T("   Huile de palme et ses fractions, même raffinées, mais non chimiquement modifiées (à l'excl. de l'huile de palme brute)")</f>
        <v xml:space="preserve">   Huile de palme et ses fractions, même raffinées, mais non chimiquement modifiées (à l'excl. de l'huile de palme brute)</v>
      </c>
      <c r="C678">
        <v>1692042735</v>
      </c>
      <c r="D678">
        <v>3736267</v>
      </c>
    </row>
    <row r="679" spans="1:4" x14ac:dyDescent="0.25">
      <c r="A679" t="str">
        <f>T("   151229")</f>
        <v xml:space="preserve">   151229</v>
      </c>
      <c r="B679"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679">
        <v>2927668510</v>
      </c>
      <c r="D679">
        <v>4770442</v>
      </c>
    </row>
    <row r="680" spans="1:4" x14ac:dyDescent="0.25">
      <c r="A680" t="str">
        <f>T("   151620")</f>
        <v xml:space="preserve">   151620</v>
      </c>
      <c r="B680"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680">
        <v>2097196857</v>
      </c>
      <c r="D680">
        <v>4360843</v>
      </c>
    </row>
    <row r="681" spans="1:4" x14ac:dyDescent="0.25">
      <c r="A681" t="str">
        <f>T("   170199")</f>
        <v xml:space="preserve">   170199</v>
      </c>
      <c r="B681"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681">
        <v>209790000</v>
      </c>
      <c r="D681">
        <v>973600</v>
      </c>
    </row>
    <row r="682" spans="1:4" x14ac:dyDescent="0.25">
      <c r="A682" t="str">
        <f>T("   230400")</f>
        <v xml:space="preserve">   230400</v>
      </c>
      <c r="B682"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682">
        <v>11466900</v>
      </c>
      <c r="D682">
        <v>73980</v>
      </c>
    </row>
    <row r="683" spans="1:4" x14ac:dyDescent="0.25">
      <c r="A683" t="str">
        <f>T("   270500")</f>
        <v xml:space="preserve">   270500</v>
      </c>
      <c r="B683" t="str">
        <f>T("   Gaz de houille, gaz à l'eau, gaz pauvre et gaz simil. (à l'excl. des gaz de pétrole et autres hydrocarbures gazeux)")</f>
        <v xml:space="preserve">   Gaz de houille, gaz à l'eau, gaz pauvre et gaz simil. (à l'excl. des gaz de pétrole et autres hydrocarbures gazeux)</v>
      </c>
      <c r="C683">
        <v>594394</v>
      </c>
      <c r="D683">
        <v>250</v>
      </c>
    </row>
    <row r="684" spans="1:4" x14ac:dyDescent="0.25">
      <c r="A684" t="str">
        <f>T("   271320")</f>
        <v xml:space="preserve">   271320</v>
      </c>
      <c r="B684" t="str">
        <f>T("   Bitume de pétrole")</f>
        <v xml:space="preserve">   Bitume de pétrole</v>
      </c>
      <c r="C684">
        <v>3733360</v>
      </c>
      <c r="D684">
        <v>10000</v>
      </c>
    </row>
    <row r="685" spans="1:4" x14ac:dyDescent="0.25">
      <c r="A685" t="str">
        <f>T("   330610")</f>
        <v xml:space="preserve">   330610</v>
      </c>
      <c r="B685" t="str">
        <f>T("   Dentifrices, préparés, même des types utilisés par les dentistes")</f>
        <v xml:space="preserve">   Dentifrices, préparés, même des types utilisés par les dentistes</v>
      </c>
      <c r="C685">
        <v>3000000</v>
      </c>
      <c r="D685">
        <v>60000</v>
      </c>
    </row>
    <row r="686" spans="1:4" x14ac:dyDescent="0.25">
      <c r="A686" t="str">
        <f>T("   340119")</f>
        <v xml:space="preserve">   340119</v>
      </c>
      <c r="B686" t="s">
        <v>34</v>
      </c>
      <c r="C686">
        <v>41937500</v>
      </c>
      <c r="D686">
        <v>61076</v>
      </c>
    </row>
    <row r="687" spans="1:4" x14ac:dyDescent="0.25">
      <c r="A687" t="str">
        <f>T("   391721")</f>
        <v xml:space="preserve">   391721</v>
      </c>
      <c r="B687" t="str">
        <f>T("   TUBES ET TUYAUX RIGIDES, EN POLYMÈRES DE L'ÉTHYLÈNE")</f>
        <v xml:space="preserve">   TUBES ET TUYAUX RIGIDES, EN POLYMÈRES DE L'ÉTHYLÈNE</v>
      </c>
      <c r="C687">
        <v>308308000</v>
      </c>
      <c r="D687">
        <v>508082</v>
      </c>
    </row>
    <row r="688" spans="1:4" x14ac:dyDescent="0.25">
      <c r="A688" t="str">
        <f>T("   520812")</f>
        <v xml:space="preserve">   520812</v>
      </c>
      <c r="B688" t="str">
        <f>T("   Tissus de coton, écrus, à armure toile, contenant &gt;= 85% en poids de coton, d'un poids &gt; 100 g/m² mais &lt;= 200 g/m²")</f>
        <v xml:space="preserve">   Tissus de coton, écrus, à armure toile, contenant &gt;= 85% en poids de coton, d'un poids &gt; 100 g/m² mais &lt;= 200 g/m²</v>
      </c>
      <c r="C688">
        <v>489271177</v>
      </c>
      <c r="D688">
        <v>222480</v>
      </c>
    </row>
    <row r="689" spans="1:4" x14ac:dyDescent="0.25">
      <c r="A689" t="str">
        <f>T("   721041")</f>
        <v xml:space="preserve">   721041</v>
      </c>
      <c r="B689"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689">
        <v>271646021</v>
      </c>
      <c r="D689">
        <v>679925</v>
      </c>
    </row>
    <row r="690" spans="1:4" x14ac:dyDescent="0.25">
      <c r="A690" t="str">
        <f>T("   721391")</f>
        <v xml:space="preserve">   721391</v>
      </c>
      <c r="B690"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690">
        <v>1953404528</v>
      </c>
      <c r="D690">
        <v>6893000</v>
      </c>
    </row>
    <row r="691" spans="1:4" x14ac:dyDescent="0.25">
      <c r="A691" t="str">
        <f>T("   721420")</f>
        <v xml:space="preserve">   721420</v>
      </c>
      <c r="B691"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691">
        <v>70085119</v>
      </c>
      <c r="D691">
        <v>270000</v>
      </c>
    </row>
    <row r="692" spans="1:4" x14ac:dyDescent="0.25">
      <c r="A692" t="str">
        <f>T("   721590")</f>
        <v xml:space="preserve">   721590</v>
      </c>
      <c r="B692"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692">
        <v>1285170000</v>
      </c>
      <c r="D692">
        <v>3786010</v>
      </c>
    </row>
    <row r="693" spans="1:4" x14ac:dyDescent="0.25">
      <c r="A693" t="str">
        <f>T("   721790")</f>
        <v xml:space="preserve">   721790</v>
      </c>
      <c r="B693"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693">
        <v>22950000</v>
      </c>
      <c r="D693">
        <v>51000</v>
      </c>
    </row>
    <row r="694" spans="1:4" x14ac:dyDescent="0.25">
      <c r="A694" t="str">
        <f>T("   730900")</f>
        <v xml:space="preserve">   730900</v>
      </c>
      <c r="B694" t="s">
        <v>68</v>
      </c>
      <c r="C694">
        <v>7240582</v>
      </c>
      <c r="D694">
        <v>8500</v>
      </c>
    </row>
    <row r="695" spans="1:4" x14ac:dyDescent="0.25">
      <c r="A695" t="str">
        <f>T("   731700")</f>
        <v xml:space="preserve">   731700</v>
      </c>
      <c r="B695"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695">
        <v>171885000</v>
      </c>
      <c r="D695">
        <v>359000</v>
      </c>
    </row>
    <row r="696" spans="1:4" x14ac:dyDescent="0.25">
      <c r="A696" t="str">
        <f>T("   732690")</f>
        <v xml:space="preserve">   732690</v>
      </c>
      <c r="B696"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96">
        <v>2411131</v>
      </c>
      <c r="D696">
        <v>3422.35</v>
      </c>
    </row>
    <row r="697" spans="1:4" x14ac:dyDescent="0.25">
      <c r="A697" t="str">
        <f>T("   840999")</f>
        <v xml:space="preserve">   840999</v>
      </c>
      <c r="B697"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697">
        <v>38904046</v>
      </c>
      <c r="D697">
        <v>7500</v>
      </c>
    </row>
    <row r="698" spans="1:4" x14ac:dyDescent="0.25">
      <c r="A698" t="str">
        <f>T("   842911")</f>
        <v xml:space="preserve">   842911</v>
      </c>
      <c r="B698" t="str">
        <f>T("   Bouteurs 'bulldozers' et bouteurs biais 'angledozers', à chenilles")</f>
        <v xml:space="preserve">   Bouteurs 'bulldozers' et bouteurs biais 'angledozers', à chenilles</v>
      </c>
      <c r="C698">
        <v>20830000</v>
      </c>
      <c r="D698">
        <v>40000</v>
      </c>
    </row>
    <row r="699" spans="1:4" x14ac:dyDescent="0.25">
      <c r="A699" t="str">
        <f>T("   842920")</f>
        <v xml:space="preserve">   842920</v>
      </c>
      <c r="B699" t="str">
        <f>T("   Niveleuses autopropulsées")</f>
        <v xml:space="preserve">   Niveleuses autopropulsées</v>
      </c>
      <c r="C699">
        <v>3200000</v>
      </c>
      <c r="D699">
        <v>12000</v>
      </c>
    </row>
    <row r="700" spans="1:4" x14ac:dyDescent="0.25">
      <c r="A700" t="str">
        <f>T("   842940")</f>
        <v xml:space="preserve">   842940</v>
      </c>
      <c r="B700" t="str">
        <f>T("   Rouleaux compresseurs et autres compacteuses, autopropulsés")</f>
        <v xml:space="preserve">   Rouleaux compresseurs et autres compacteuses, autopropulsés</v>
      </c>
      <c r="C700">
        <v>11314040</v>
      </c>
      <c r="D700">
        <v>47439</v>
      </c>
    </row>
    <row r="701" spans="1:4" x14ac:dyDescent="0.25">
      <c r="A701" t="str">
        <f>T("   843049")</f>
        <v xml:space="preserve">   843049</v>
      </c>
      <c r="B701"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701">
        <v>1262358163</v>
      </c>
      <c r="D701">
        <v>205203</v>
      </c>
    </row>
    <row r="702" spans="1:4" x14ac:dyDescent="0.25">
      <c r="A702" t="str">
        <f>T("   843120")</f>
        <v xml:space="preserve">   843120</v>
      </c>
      <c r="B702" t="str">
        <f>T("   Parties de chariots-gerbeurs et autres chariots de manutention munis d'un dispositif de levage, n.d.a.")</f>
        <v xml:space="preserve">   Parties de chariots-gerbeurs et autres chariots de manutention munis d'un dispositif de levage, n.d.a.</v>
      </c>
      <c r="C702">
        <v>479350</v>
      </c>
      <c r="D702">
        <v>1500</v>
      </c>
    </row>
    <row r="703" spans="1:4" x14ac:dyDescent="0.25">
      <c r="A703" t="str">
        <f>T("   843352")</f>
        <v xml:space="preserve">   843352</v>
      </c>
      <c r="B703" t="str">
        <f>T("   Machines et appareils pour le battage des produits agricoles (sauf moissonneuses-batteuses)")</f>
        <v xml:space="preserve">   Machines et appareils pour le battage des produits agricoles (sauf moissonneuses-batteuses)</v>
      </c>
      <c r="C703">
        <v>7103280</v>
      </c>
      <c r="D703">
        <v>3050</v>
      </c>
    </row>
    <row r="704" spans="1:4" x14ac:dyDescent="0.25">
      <c r="A704" t="str">
        <f>T("   845020")</f>
        <v xml:space="preserve">   845020</v>
      </c>
      <c r="B704" t="str">
        <f>T("   Machines à laver le linge, capacité unitaire en poids de linge sec &gt; 10 kg")</f>
        <v xml:space="preserve">   Machines à laver le linge, capacité unitaire en poids de linge sec &gt; 10 kg</v>
      </c>
      <c r="C704">
        <v>335545</v>
      </c>
      <c r="D704">
        <v>800</v>
      </c>
    </row>
    <row r="705" spans="1:4" x14ac:dyDescent="0.25">
      <c r="A705" t="str">
        <f>T("   847141")</f>
        <v xml:space="preserve">   847141</v>
      </c>
      <c r="B705" t="s">
        <v>86</v>
      </c>
      <c r="C705">
        <v>239675</v>
      </c>
      <c r="D705">
        <v>350</v>
      </c>
    </row>
    <row r="706" spans="1:4" x14ac:dyDescent="0.25">
      <c r="A706" t="str">
        <f>T("   848180")</f>
        <v xml:space="preserve">   848180</v>
      </c>
      <c r="B70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06">
        <v>96425000</v>
      </c>
      <c r="D706">
        <v>16300</v>
      </c>
    </row>
    <row r="707" spans="1:4" x14ac:dyDescent="0.25">
      <c r="A707" t="str">
        <f>T("   850213")</f>
        <v xml:space="preserve">   850213</v>
      </c>
      <c r="B707" t="s">
        <v>88</v>
      </c>
      <c r="C707">
        <v>6367700</v>
      </c>
      <c r="D707">
        <v>8130</v>
      </c>
    </row>
    <row r="708" spans="1:4" x14ac:dyDescent="0.25">
      <c r="A708" t="str">
        <f>T("   920790")</f>
        <v xml:space="preserve">   920790</v>
      </c>
      <c r="B708" t="str">
        <f>T("   Accordéons électriques et autres instruments de musique électriques")</f>
        <v xml:space="preserve">   Accordéons électriques et autres instruments de musique électriques</v>
      </c>
      <c r="C708">
        <v>11317061</v>
      </c>
      <c r="D708">
        <v>1000</v>
      </c>
    </row>
    <row r="709" spans="1:4" x14ac:dyDescent="0.25">
      <c r="A709" t="str">
        <f>T("NI")</f>
        <v>NI</v>
      </c>
      <c r="B709" t="str">
        <f>T("Nicaragua")</f>
        <v>Nicaragua</v>
      </c>
    </row>
    <row r="710" spans="1:4" x14ac:dyDescent="0.25">
      <c r="A710" t="str">
        <f>T("   ZZ_Total_Produit_SH6")</f>
        <v xml:space="preserve">   ZZ_Total_Produit_SH6</v>
      </c>
      <c r="B710" t="str">
        <f>T("   ZZ_Total_Produit_SH6")</f>
        <v xml:space="preserve">   ZZ_Total_Produit_SH6</v>
      </c>
      <c r="C710">
        <v>1900000</v>
      </c>
      <c r="D710">
        <v>893</v>
      </c>
    </row>
    <row r="711" spans="1:4" x14ac:dyDescent="0.25">
      <c r="A711" t="str">
        <f>T("   490700")</f>
        <v xml:space="preserve">   490700</v>
      </c>
      <c r="B711" t="s">
        <v>46</v>
      </c>
      <c r="C711">
        <v>1900000</v>
      </c>
      <c r="D711">
        <v>893</v>
      </c>
    </row>
    <row r="712" spans="1:4" x14ac:dyDescent="0.25">
      <c r="A712" t="str">
        <f>T("NL")</f>
        <v>NL</v>
      </c>
      <c r="B712" t="str">
        <f>T("Pays-bas")</f>
        <v>Pays-bas</v>
      </c>
    </row>
    <row r="713" spans="1:4" x14ac:dyDescent="0.25">
      <c r="A713" t="str">
        <f>T("   ZZ_Total_Produit_SH6")</f>
        <v xml:space="preserve">   ZZ_Total_Produit_SH6</v>
      </c>
      <c r="B713" t="str">
        <f>T("   ZZ_Total_Produit_SH6")</f>
        <v xml:space="preserve">   ZZ_Total_Produit_SH6</v>
      </c>
      <c r="C713">
        <v>4245047005</v>
      </c>
      <c r="D713">
        <v>1067477.3500000001</v>
      </c>
    </row>
    <row r="714" spans="1:4" x14ac:dyDescent="0.25">
      <c r="A714" t="str">
        <f>T("   080132")</f>
        <v xml:space="preserve">   080132</v>
      </c>
      <c r="B714" t="str">
        <f>T("   Noix de cajou, fraîches ou sèches, sans coques")</f>
        <v xml:space="preserve">   Noix de cajou, fraîches ou sèches, sans coques</v>
      </c>
      <c r="C714">
        <v>135382272</v>
      </c>
      <c r="D714">
        <v>63505.35</v>
      </c>
    </row>
    <row r="715" spans="1:4" x14ac:dyDescent="0.25">
      <c r="A715" t="str">
        <f>T("   440920")</f>
        <v xml:space="preserve">   440920</v>
      </c>
      <c r="B715" t="s">
        <v>42</v>
      </c>
      <c r="C715">
        <v>20811250</v>
      </c>
      <c r="D715">
        <v>25610</v>
      </c>
    </row>
    <row r="716" spans="1:4" x14ac:dyDescent="0.25">
      <c r="A716" t="str">
        <f>T("   441820")</f>
        <v xml:space="preserve">   441820</v>
      </c>
      <c r="B716" t="str">
        <f>T("   Portes et leurs cadres, chambranles et seuils, en bois")</f>
        <v xml:space="preserve">   Portes et leurs cadres, chambranles et seuils, en bois</v>
      </c>
      <c r="C716">
        <v>819950</v>
      </c>
      <c r="D716">
        <v>1400</v>
      </c>
    </row>
    <row r="717" spans="1:4" x14ac:dyDescent="0.25">
      <c r="A717" t="str">
        <f>T("   441900")</f>
        <v xml:space="preserve">   441900</v>
      </c>
      <c r="B717" t="s">
        <v>44</v>
      </c>
      <c r="C717">
        <v>155372</v>
      </c>
      <c r="D717">
        <v>1000</v>
      </c>
    </row>
    <row r="718" spans="1:4" x14ac:dyDescent="0.25">
      <c r="A718" t="str">
        <f>T("   442010")</f>
        <v xml:space="preserve">   442010</v>
      </c>
      <c r="B718" t="str">
        <f>T("   Statuettes et autres objets d'ornement, en bois (autres que marquetés ou incrustés)")</f>
        <v xml:space="preserve">   Statuettes et autres objets d'ornement, en bois (autres que marquetés ou incrustés)</v>
      </c>
      <c r="C718">
        <v>136440</v>
      </c>
      <c r="D718">
        <v>28</v>
      </c>
    </row>
    <row r="719" spans="1:4" x14ac:dyDescent="0.25">
      <c r="A719" t="str">
        <f>T("   490199")</f>
        <v xml:space="preserve">   490199</v>
      </c>
      <c r="B71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19">
        <v>527686</v>
      </c>
      <c r="D719">
        <v>800</v>
      </c>
    </row>
    <row r="720" spans="1:4" x14ac:dyDescent="0.25">
      <c r="A720" t="str">
        <f>T("   520299")</f>
        <v xml:space="preserve">   520299</v>
      </c>
      <c r="B720" t="str">
        <f>T("   Déchets de coton (à l'excl. des déchets de fils et des effilochés)")</f>
        <v xml:space="preserve">   Déchets de coton (à l'excl. des déchets de fils et des effilochés)</v>
      </c>
      <c r="C720">
        <v>738820</v>
      </c>
      <c r="D720">
        <v>95372</v>
      </c>
    </row>
    <row r="721" spans="1:4" x14ac:dyDescent="0.25">
      <c r="A721" t="str">
        <f>T("   570110")</f>
        <v xml:space="preserve">   570110</v>
      </c>
      <c r="B721" t="str">
        <f>T("   Tapis de laine ou de poils fins, à points noués ou enroulés, même confectionnés")</f>
        <v xml:space="preserve">   Tapis de laine ou de poils fins, à points noués ou enroulés, même confectionnés</v>
      </c>
      <c r="C721">
        <v>93223</v>
      </c>
      <c r="D721">
        <v>860</v>
      </c>
    </row>
    <row r="722" spans="1:4" x14ac:dyDescent="0.25">
      <c r="A722" t="str">
        <f>T("   620590")</f>
        <v xml:space="preserve">   620590</v>
      </c>
      <c r="B72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22">
        <v>1350000</v>
      </c>
      <c r="D722">
        <v>1800</v>
      </c>
    </row>
    <row r="723" spans="1:4" x14ac:dyDescent="0.25">
      <c r="A723" t="str">
        <f>T("   630221")</f>
        <v xml:space="preserve">   630221</v>
      </c>
      <c r="B723" t="str">
        <f>T("   Linge de lit de coton, imprimé (autre qu'en bonneterie)")</f>
        <v xml:space="preserve">   Linge de lit de coton, imprimé (autre qu'en bonneterie)</v>
      </c>
      <c r="C723">
        <v>201984</v>
      </c>
      <c r="D723">
        <v>600</v>
      </c>
    </row>
    <row r="724" spans="1:4" x14ac:dyDescent="0.25">
      <c r="A724" t="str">
        <f>T("   691110")</f>
        <v xml:space="preserve">   691110</v>
      </c>
      <c r="B724" t="s">
        <v>60</v>
      </c>
      <c r="C724">
        <v>466116</v>
      </c>
      <c r="D724">
        <v>740</v>
      </c>
    </row>
    <row r="725" spans="1:4" x14ac:dyDescent="0.25">
      <c r="A725" t="str">
        <f>T("   691200")</f>
        <v xml:space="preserve">   691200</v>
      </c>
      <c r="B725" t="s">
        <v>61</v>
      </c>
      <c r="C725">
        <v>310744</v>
      </c>
      <c r="D725">
        <v>700</v>
      </c>
    </row>
    <row r="726" spans="1:4" x14ac:dyDescent="0.25">
      <c r="A726" t="str">
        <f>T("   720430")</f>
        <v xml:space="preserve">   720430</v>
      </c>
      <c r="B726"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726">
        <v>750000</v>
      </c>
      <c r="D726">
        <v>15000</v>
      </c>
    </row>
    <row r="727" spans="1:4" x14ac:dyDescent="0.25">
      <c r="A727" t="str">
        <f>T("   732394")</f>
        <v xml:space="preserve">   732394</v>
      </c>
      <c r="B727" t="s">
        <v>73</v>
      </c>
      <c r="C727">
        <v>600000</v>
      </c>
      <c r="D727">
        <v>400</v>
      </c>
    </row>
    <row r="728" spans="1:4" x14ac:dyDescent="0.25">
      <c r="A728" t="str">
        <f>T("   820790")</f>
        <v xml:space="preserve">   820790</v>
      </c>
      <c r="B728" t="str">
        <f>T("   Outils interchangeables pour outillage à main, mécanique ou non, ou pour machines-outils, n.d.a.")</f>
        <v xml:space="preserve">   Outils interchangeables pour outillage à main, mécanique ou non, ou pour machines-outils, n.d.a.</v>
      </c>
      <c r="C728">
        <v>77686</v>
      </c>
      <c r="D728">
        <v>600</v>
      </c>
    </row>
    <row r="729" spans="1:4" x14ac:dyDescent="0.25">
      <c r="A729" t="str">
        <f>T("   842919")</f>
        <v xml:space="preserve">   842919</v>
      </c>
      <c r="B729" t="str">
        <f>T("   Bouteurs 'bulldozers' et bouteurs biais 'angledozers', sur roues")</f>
        <v xml:space="preserve">   Bouteurs 'bulldozers' et bouteurs biais 'angledozers', sur roues</v>
      </c>
      <c r="C729">
        <v>4000000</v>
      </c>
      <c r="D729">
        <v>25816</v>
      </c>
    </row>
    <row r="730" spans="1:4" x14ac:dyDescent="0.25">
      <c r="A730" t="str">
        <f>T("   842920")</f>
        <v xml:space="preserve">   842920</v>
      </c>
      <c r="B730" t="str">
        <f>T("   Niveleuses autopropulsées")</f>
        <v xml:space="preserve">   Niveleuses autopropulsées</v>
      </c>
      <c r="C730">
        <v>8530000</v>
      </c>
      <c r="D730">
        <v>32700</v>
      </c>
    </row>
    <row r="731" spans="1:4" x14ac:dyDescent="0.25">
      <c r="A731" t="str">
        <f>T("   842951")</f>
        <v xml:space="preserve">   842951</v>
      </c>
      <c r="B731" t="str">
        <f>T("   Chargeuses et chargeuses-pelleteuses, à chargement frontal, autopropulsées")</f>
        <v xml:space="preserve">   Chargeuses et chargeuses-pelleteuses, à chargement frontal, autopropulsées</v>
      </c>
      <c r="C731">
        <v>4000000</v>
      </c>
      <c r="D731">
        <v>12400</v>
      </c>
    </row>
    <row r="732" spans="1:4" x14ac:dyDescent="0.25">
      <c r="A732" t="str">
        <f>T("   847180")</f>
        <v xml:space="preserve">   847180</v>
      </c>
      <c r="B732"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32">
        <v>688102</v>
      </c>
      <c r="D732">
        <v>13</v>
      </c>
    </row>
    <row r="733" spans="1:4" x14ac:dyDescent="0.25">
      <c r="A733" t="str">
        <f>T("   850212")</f>
        <v xml:space="preserve">   850212</v>
      </c>
      <c r="B733"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733">
        <v>8158188</v>
      </c>
      <c r="D733">
        <v>26000</v>
      </c>
    </row>
    <row r="734" spans="1:4" x14ac:dyDescent="0.25">
      <c r="A734" t="str">
        <f>T("   850213")</f>
        <v xml:space="preserve">   850213</v>
      </c>
      <c r="B734" t="s">
        <v>88</v>
      </c>
      <c r="C734">
        <v>2740560804</v>
      </c>
      <c r="D734">
        <v>424666</v>
      </c>
    </row>
    <row r="735" spans="1:4" x14ac:dyDescent="0.25">
      <c r="A735" t="str">
        <f>T("   850300")</f>
        <v xml:space="preserve">   850300</v>
      </c>
      <c r="B735"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735">
        <v>510117916</v>
      </c>
      <c r="D735">
        <v>134151</v>
      </c>
    </row>
    <row r="736" spans="1:4" x14ac:dyDescent="0.25">
      <c r="A736" t="str">
        <f>T("   850422")</f>
        <v xml:space="preserve">   850422</v>
      </c>
      <c r="B736" t="str">
        <f>T("   Transformateurs à diélectrique liquide, puissance &gt; 650 kVA mais &lt;= 10.000 kVA")</f>
        <v xml:space="preserve">   Transformateurs à diélectrique liquide, puissance &gt; 650 kVA mais &lt;= 10.000 kVA</v>
      </c>
      <c r="C736">
        <v>622549836</v>
      </c>
      <c r="D736">
        <v>71600</v>
      </c>
    </row>
    <row r="737" spans="1:4" x14ac:dyDescent="0.25">
      <c r="A737" t="str">
        <f>T("   851580")</f>
        <v xml:space="preserve">   851580</v>
      </c>
      <c r="B737" t="s">
        <v>89</v>
      </c>
      <c r="C737">
        <v>233058</v>
      </c>
      <c r="D737">
        <v>1000</v>
      </c>
    </row>
    <row r="738" spans="1:4" x14ac:dyDescent="0.25">
      <c r="A738" t="str">
        <f>T("   851750")</f>
        <v xml:space="preserve">   851750</v>
      </c>
      <c r="B738" t="s">
        <v>90</v>
      </c>
      <c r="C738">
        <v>389640</v>
      </c>
      <c r="D738">
        <v>9</v>
      </c>
    </row>
    <row r="739" spans="1:4" x14ac:dyDescent="0.25">
      <c r="A739" t="str">
        <f>T("   851780")</f>
        <v xml:space="preserve">   851780</v>
      </c>
      <c r="B739" t="s">
        <v>91</v>
      </c>
      <c r="C739">
        <v>118729</v>
      </c>
      <c r="D739">
        <v>3</v>
      </c>
    </row>
    <row r="740" spans="1:4" x14ac:dyDescent="0.25">
      <c r="A740" t="str">
        <f>T("   852910")</f>
        <v xml:space="preserve">   852910</v>
      </c>
      <c r="B740"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740">
        <v>152839</v>
      </c>
      <c r="D740">
        <v>4</v>
      </c>
    </row>
    <row r="741" spans="1:4" x14ac:dyDescent="0.25">
      <c r="A741" t="str">
        <f>T("   860900")</f>
        <v xml:space="preserve">   860900</v>
      </c>
      <c r="B741"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741">
        <v>179462218</v>
      </c>
      <c r="D741">
        <v>126100</v>
      </c>
    </row>
    <row r="742" spans="1:4" x14ac:dyDescent="0.25">
      <c r="A742" t="str">
        <f>T("   940330")</f>
        <v xml:space="preserve">   940330</v>
      </c>
      <c r="B742" t="str">
        <f>T("   Meubles de bureau en bois (sauf sièges)")</f>
        <v xml:space="preserve">   Meubles de bureau en bois (sauf sièges)</v>
      </c>
      <c r="C742">
        <v>264132</v>
      </c>
      <c r="D742">
        <v>800</v>
      </c>
    </row>
    <row r="743" spans="1:4" x14ac:dyDescent="0.25">
      <c r="A743" t="str">
        <f>T("   940350")</f>
        <v xml:space="preserve">   940350</v>
      </c>
      <c r="B743" t="str">
        <f>T("   Meubles pour chambres à coucher, en bois (sauf sièges)")</f>
        <v xml:space="preserve">   Meubles pour chambres à coucher, en bois (sauf sièges)</v>
      </c>
      <c r="C743">
        <v>3400000</v>
      </c>
      <c r="D743">
        <v>3800</v>
      </c>
    </row>
    <row r="744" spans="1:4" x14ac:dyDescent="0.25">
      <c r="A744" t="str">
        <f>T("PE")</f>
        <v>PE</v>
      </c>
      <c r="B744" t="str">
        <f>T("Pérou")</f>
        <v>Pérou</v>
      </c>
    </row>
    <row r="745" spans="1:4" x14ac:dyDescent="0.25">
      <c r="A745" t="str">
        <f>T("   ZZ_Total_Produit_SH6")</f>
        <v xml:space="preserve">   ZZ_Total_Produit_SH6</v>
      </c>
      <c r="B745" t="str">
        <f>T("   ZZ_Total_Produit_SH6")</f>
        <v xml:space="preserve">   ZZ_Total_Produit_SH6</v>
      </c>
      <c r="C745">
        <v>20223476</v>
      </c>
      <c r="D745">
        <v>472</v>
      </c>
    </row>
    <row r="746" spans="1:4" x14ac:dyDescent="0.25">
      <c r="A746" t="str">
        <f>T("   120710")</f>
        <v xml:space="preserve">   120710</v>
      </c>
      <c r="B746" t="str">
        <f>T("   NOIX ET AMANDES DE PALMISTES")</f>
        <v xml:space="preserve">   NOIX ET AMANDES DE PALMISTES</v>
      </c>
      <c r="C746">
        <v>20223476</v>
      </c>
      <c r="D746">
        <v>472</v>
      </c>
    </row>
    <row r="747" spans="1:4" x14ac:dyDescent="0.25">
      <c r="A747" t="str">
        <f>T("PK")</f>
        <v>PK</v>
      </c>
      <c r="B747" t="str">
        <f>T("Pakistan")</f>
        <v>Pakistan</v>
      </c>
    </row>
    <row r="748" spans="1:4" x14ac:dyDescent="0.25">
      <c r="A748" t="str">
        <f>T("   ZZ_Total_Produit_SH6")</f>
        <v xml:space="preserve">   ZZ_Total_Produit_SH6</v>
      </c>
      <c r="B748" t="str">
        <f>T("   ZZ_Total_Produit_SH6")</f>
        <v xml:space="preserve">   ZZ_Total_Produit_SH6</v>
      </c>
      <c r="C748">
        <v>1491809212</v>
      </c>
      <c r="D748">
        <v>2271985</v>
      </c>
    </row>
    <row r="749" spans="1:4" x14ac:dyDescent="0.25">
      <c r="A749" t="str">
        <f>T("   080132")</f>
        <v xml:space="preserve">   080132</v>
      </c>
      <c r="B749" t="str">
        <f>T("   Noix de cajou, fraîches ou sèches, sans coques")</f>
        <v xml:space="preserve">   Noix de cajou, fraîches ou sèches, sans coques</v>
      </c>
      <c r="C749">
        <v>8265060</v>
      </c>
      <c r="D749">
        <v>50000</v>
      </c>
    </row>
    <row r="750" spans="1:4" x14ac:dyDescent="0.25">
      <c r="A750" t="str">
        <f>T("   392321")</f>
        <v xml:space="preserve">   392321</v>
      </c>
      <c r="B750" t="str">
        <f>T("   Sacs, sachets, pochettes et cornets, en polymères de l'éthylène")</f>
        <v xml:space="preserve">   Sacs, sachets, pochettes et cornets, en polymères de l'éthylène</v>
      </c>
      <c r="C750">
        <v>1486052</v>
      </c>
      <c r="D750">
        <v>1076</v>
      </c>
    </row>
    <row r="751" spans="1:4" x14ac:dyDescent="0.25">
      <c r="A751" t="str">
        <f>T("   490199")</f>
        <v xml:space="preserve">   490199</v>
      </c>
      <c r="B75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51">
        <v>200000</v>
      </c>
      <c r="D751">
        <v>200</v>
      </c>
    </row>
    <row r="752" spans="1:4" x14ac:dyDescent="0.25">
      <c r="A752" t="str">
        <f>T("   520100")</f>
        <v xml:space="preserve">   520100</v>
      </c>
      <c r="B752" t="str">
        <f>T("   COTON, NON-CARDÉ NI PEIGNÉ")</f>
        <v xml:space="preserve">   COTON, NON-CARDÉ NI PEIGNÉ</v>
      </c>
      <c r="C752">
        <v>1464314273</v>
      </c>
      <c r="D752">
        <v>2002202</v>
      </c>
    </row>
    <row r="753" spans="1:4" x14ac:dyDescent="0.25">
      <c r="A753" t="str">
        <f>T("   720430")</f>
        <v xml:space="preserve">   720430</v>
      </c>
      <c r="B753"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753">
        <v>10250000</v>
      </c>
      <c r="D753">
        <v>205000</v>
      </c>
    </row>
    <row r="754" spans="1:4" x14ac:dyDescent="0.25">
      <c r="A754" t="str">
        <f>T("   721790")</f>
        <v xml:space="preserve">   721790</v>
      </c>
      <c r="B754"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754">
        <v>5175491</v>
      </c>
      <c r="D754">
        <v>11144</v>
      </c>
    </row>
    <row r="755" spans="1:4" x14ac:dyDescent="0.25">
      <c r="A755" t="str">
        <f>T("   732394")</f>
        <v xml:space="preserve">   732394</v>
      </c>
      <c r="B755" t="s">
        <v>73</v>
      </c>
      <c r="C755">
        <v>500000</v>
      </c>
      <c r="D755">
        <v>300</v>
      </c>
    </row>
    <row r="756" spans="1:4" x14ac:dyDescent="0.25">
      <c r="A756" t="str">
        <f>T("   732620")</f>
        <v xml:space="preserve">   732620</v>
      </c>
      <c r="B756" t="str">
        <f>T("   Ouvrages en fil de fer ou d'acier, n.d.a.")</f>
        <v xml:space="preserve">   Ouvrages en fil de fer ou d'acier, n.d.a.</v>
      </c>
      <c r="C756">
        <v>818336</v>
      </c>
      <c r="D756">
        <v>1363</v>
      </c>
    </row>
    <row r="757" spans="1:4" x14ac:dyDescent="0.25">
      <c r="A757" t="str">
        <f>T("   940350")</f>
        <v xml:space="preserve">   940350</v>
      </c>
      <c r="B757" t="str">
        <f>T("   Meubles pour chambres à coucher, en bois (sauf sièges)")</f>
        <v xml:space="preserve">   Meubles pour chambres à coucher, en bois (sauf sièges)</v>
      </c>
      <c r="C757">
        <v>800000</v>
      </c>
      <c r="D757">
        <v>700</v>
      </c>
    </row>
    <row r="758" spans="1:4" x14ac:dyDescent="0.25">
      <c r="A758" t="str">
        <f>T("PT")</f>
        <v>PT</v>
      </c>
      <c r="B758" t="str">
        <f>T("Portugal")</f>
        <v>Portugal</v>
      </c>
    </row>
    <row r="759" spans="1:4" x14ac:dyDescent="0.25">
      <c r="A759" t="str">
        <f>T("   ZZ_Total_Produit_SH6")</f>
        <v xml:space="preserve">   ZZ_Total_Produit_SH6</v>
      </c>
      <c r="B759" t="str">
        <f>T("   ZZ_Total_Produit_SH6")</f>
        <v xml:space="preserve">   ZZ_Total_Produit_SH6</v>
      </c>
      <c r="C759">
        <v>3897408291</v>
      </c>
      <c r="D759">
        <v>11721321</v>
      </c>
    </row>
    <row r="760" spans="1:4" x14ac:dyDescent="0.25">
      <c r="A760" t="str">
        <f>T("   170111")</f>
        <v xml:space="preserve">   170111</v>
      </c>
      <c r="B760" t="str">
        <f>T("   Sucres de canne, bruts, sans addition d'aromatisants ou de colorants")</f>
        <v xml:space="preserve">   Sucres de canne, bruts, sans addition d'aromatisants ou de colorants</v>
      </c>
      <c r="C760">
        <v>2220750000</v>
      </c>
      <c r="D760">
        <v>9450000</v>
      </c>
    </row>
    <row r="761" spans="1:4" x14ac:dyDescent="0.25">
      <c r="A761" t="str">
        <f>T("   392321")</f>
        <v xml:space="preserve">   392321</v>
      </c>
      <c r="B761" t="str">
        <f>T("   Sacs, sachets, pochettes et cornets, en polymères de l'éthylène")</f>
        <v xml:space="preserve">   Sacs, sachets, pochettes et cornets, en polymères de l'éthylène</v>
      </c>
      <c r="C761">
        <v>2958090</v>
      </c>
      <c r="D761">
        <v>2143</v>
      </c>
    </row>
    <row r="762" spans="1:4" x14ac:dyDescent="0.25">
      <c r="A762" t="str">
        <f>T("   520100")</f>
        <v xml:space="preserve">   520100</v>
      </c>
      <c r="B762" t="str">
        <f>T("   COTON, NON-CARDÉ NI PEIGNÉ")</f>
        <v xml:space="preserve">   COTON, NON-CARDÉ NI PEIGNÉ</v>
      </c>
      <c r="C762">
        <v>1666769468</v>
      </c>
      <c r="D762">
        <v>2256193</v>
      </c>
    </row>
    <row r="763" spans="1:4" x14ac:dyDescent="0.25">
      <c r="A763" t="str">
        <f>T("   721790")</f>
        <v xml:space="preserve">   721790</v>
      </c>
      <c r="B763"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763">
        <v>4229975</v>
      </c>
      <c r="D763">
        <v>9161</v>
      </c>
    </row>
    <row r="764" spans="1:4" x14ac:dyDescent="0.25">
      <c r="A764" t="str">
        <f>T("   732620")</f>
        <v xml:space="preserve">   732620</v>
      </c>
      <c r="B764" t="str">
        <f>T("   Ouvrages en fil de fer ou d'acier, n.d.a.")</f>
        <v xml:space="preserve">   Ouvrages en fil de fer ou d'acier, n.d.a.</v>
      </c>
      <c r="C764">
        <v>1540362</v>
      </c>
      <c r="D764">
        <v>1977</v>
      </c>
    </row>
    <row r="765" spans="1:4" x14ac:dyDescent="0.25">
      <c r="A765" t="str">
        <f>T("   732690")</f>
        <v xml:space="preserve">   732690</v>
      </c>
      <c r="B765"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65">
        <v>1160396</v>
      </c>
      <c r="D765">
        <v>1847</v>
      </c>
    </row>
    <row r="766" spans="1:4" x14ac:dyDescent="0.25">
      <c r="A766" t="str">
        <f>T("RW")</f>
        <v>RW</v>
      </c>
      <c r="B766" t="str">
        <f>T("Rwanda")</f>
        <v>Rwanda</v>
      </c>
    </row>
    <row r="767" spans="1:4" x14ac:dyDescent="0.25">
      <c r="A767" t="str">
        <f>T("   ZZ_Total_Produit_SH6")</f>
        <v xml:space="preserve">   ZZ_Total_Produit_SH6</v>
      </c>
      <c r="B767" t="str">
        <f>T("   ZZ_Total_Produit_SH6")</f>
        <v xml:space="preserve">   ZZ_Total_Produit_SH6</v>
      </c>
      <c r="C767">
        <v>25164447</v>
      </c>
      <c r="D767">
        <v>16710</v>
      </c>
    </row>
    <row r="768" spans="1:4" x14ac:dyDescent="0.25">
      <c r="A768" t="str">
        <f>T("   490199")</f>
        <v xml:space="preserve">   490199</v>
      </c>
      <c r="B76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68">
        <v>200000</v>
      </c>
      <c r="D768">
        <v>500</v>
      </c>
    </row>
    <row r="769" spans="1:4" x14ac:dyDescent="0.25">
      <c r="A769" t="str">
        <f>T("   620590")</f>
        <v xml:space="preserve">   620590</v>
      </c>
      <c r="B76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69">
        <v>1200000</v>
      </c>
      <c r="D769">
        <v>1100</v>
      </c>
    </row>
    <row r="770" spans="1:4" x14ac:dyDescent="0.25">
      <c r="A770" t="str">
        <f>T("   732394")</f>
        <v xml:space="preserve">   732394</v>
      </c>
      <c r="B770" t="s">
        <v>73</v>
      </c>
      <c r="C770">
        <v>1200000</v>
      </c>
      <c r="D770">
        <v>1700</v>
      </c>
    </row>
    <row r="771" spans="1:4" x14ac:dyDescent="0.25">
      <c r="A771" t="str">
        <f>T("   870323")</f>
        <v xml:space="preserve">   870323</v>
      </c>
      <c r="B771" t="s">
        <v>96</v>
      </c>
      <c r="C771">
        <v>7014203</v>
      </c>
      <c r="D771">
        <v>3320</v>
      </c>
    </row>
    <row r="772" spans="1:4" x14ac:dyDescent="0.25">
      <c r="A772" t="str">
        <f>T("   870324")</f>
        <v xml:space="preserve">   870324</v>
      </c>
      <c r="B772" t="s">
        <v>97</v>
      </c>
      <c r="C772">
        <v>3158244</v>
      </c>
      <c r="D772">
        <v>1475</v>
      </c>
    </row>
    <row r="773" spans="1:4" x14ac:dyDescent="0.25">
      <c r="A773" t="str">
        <f>T("   940350")</f>
        <v xml:space="preserve">   940350</v>
      </c>
      <c r="B773" t="str">
        <f>T("   Meubles pour chambres à coucher, en bois (sauf sièges)")</f>
        <v xml:space="preserve">   Meubles pour chambres à coucher, en bois (sauf sièges)</v>
      </c>
      <c r="C773">
        <v>1900000</v>
      </c>
      <c r="D773">
        <v>4200</v>
      </c>
    </row>
    <row r="774" spans="1:4" x14ac:dyDescent="0.25">
      <c r="A774" t="str">
        <f>T("   940360")</f>
        <v xml:space="preserve">   940360</v>
      </c>
      <c r="B774" t="str">
        <f>T("   Meubles en bois (autres que pour bureaux, cuisines ou chambres à coucher et autres que sièges)")</f>
        <v xml:space="preserve">   Meubles en bois (autres que pour bureaux, cuisines ou chambres à coucher et autres que sièges)</v>
      </c>
      <c r="C774">
        <v>10492000</v>
      </c>
      <c r="D774">
        <v>4415</v>
      </c>
    </row>
    <row r="775" spans="1:4" x14ac:dyDescent="0.25">
      <c r="A775" t="str">
        <f>T("SE")</f>
        <v>SE</v>
      </c>
      <c r="B775" t="str">
        <f>T("Suède")</f>
        <v>Suède</v>
      </c>
    </row>
    <row r="776" spans="1:4" x14ac:dyDescent="0.25">
      <c r="A776" t="str">
        <f>T("   ZZ_Total_Produit_SH6")</f>
        <v xml:space="preserve">   ZZ_Total_Produit_SH6</v>
      </c>
      <c r="B776" t="str">
        <f>T("   ZZ_Total_Produit_SH6")</f>
        <v xml:space="preserve">   ZZ_Total_Produit_SH6</v>
      </c>
      <c r="C776">
        <v>1150000</v>
      </c>
      <c r="D776">
        <v>23000</v>
      </c>
    </row>
    <row r="777" spans="1:4" x14ac:dyDescent="0.25">
      <c r="A777" t="str">
        <f>T("   720449")</f>
        <v xml:space="preserve">   720449</v>
      </c>
      <c r="B777" t="s">
        <v>66</v>
      </c>
      <c r="C777">
        <v>1150000</v>
      </c>
      <c r="D777">
        <v>23000</v>
      </c>
    </row>
    <row r="778" spans="1:4" x14ac:dyDescent="0.25">
      <c r="A778" t="str">
        <f>T("SG")</f>
        <v>SG</v>
      </c>
      <c r="B778" t="str">
        <f>T("Singapour")</f>
        <v>Singapour</v>
      </c>
    </row>
    <row r="779" spans="1:4" x14ac:dyDescent="0.25">
      <c r="A779" t="str">
        <f>T("   ZZ_Total_Produit_SH6")</f>
        <v xml:space="preserve">   ZZ_Total_Produit_SH6</v>
      </c>
      <c r="B779" t="str">
        <f>T("   ZZ_Total_Produit_SH6")</f>
        <v xml:space="preserve">   ZZ_Total_Produit_SH6</v>
      </c>
      <c r="C779">
        <v>2219782746</v>
      </c>
      <c r="D779">
        <v>8085095</v>
      </c>
    </row>
    <row r="780" spans="1:4" x14ac:dyDescent="0.25">
      <c r="A780" t="str">
        <f>T("   080131")</f>
        <v xml:space="preserve">   080131</v>
      </c>
      <c r="B780" t="str">
        <f>T("   Noix de cajou, fraîches ou sèches, en coques")</f>
        <v xml:space="preserve">   Noix de cajou, fraîches ou sèches, en coques</v>
      </c>
      <c r="C780">
        <v>2150460685</v>
      </c>
      <c r="D780">
        <v>7963774</v>
      </c>
    </row>
    <row r="781" spans="1:4" x14ac:dyDescent="0.25">
      <c r="A781" t="str">
        <f>T("   120710")</f>
        <v xml:space="preserve">   120710</v>
      </c>
      <c r="B781" t="str">
        <f>T("   NOIX ET AMANDES DE PALMISTES")</f>
        <v xml:space="preserve">   NOIX ET AMANDES DE PALMISTES</v>
      </c>
      <c r="C781">
        <v>4000000</v>
      </c>
      <c r="D781">
        <v>28000</v>
      </c>
    </row>
    <row r="782" spans="1:4" x14ac:dyDescent="0.25">
      <c r="A782" t="str">
        <f>T("   520100")</f>
        <v xml:space="preserve">   520100</v>
      </c>
      <c r="B782" t="str">
        <f>T("   COTON, NON-CARDÉ NI PEIGNÉ")</f>
        <v xml:space="preserve">   COTON, NON-CARDÉ NI PEIGNÉ</v>
      </c>
      <c r="C782">
        <v>65322061</v>
      </c>
      <c r="D782">
        <v>93321</v>
      </c>
    </row>
    <row r="783" spans="1:4" x14ac:dyDescent="0.25">
      <c r="A783" t="str">
        <f>T("SN")</f>
        <v>SN</v>
      </c>
      <c r="B783" t="str">
        <f>T("Sénégal")</f>
        <v>Sénégal</v>
      </c>
    </row>
    <row r="784" spans="1:4" x14ac:dyDescent="0.25">
      <c r="A784" t="str">
        <f>T("   ZZ_Total_Produit_SH6")</f>
        <v xml:space="preserve">   ZZ_Total_Produit_SH6</v>
      </c>
      <c r="B784" t="str">
        <f>T("   ZZ_Total_Produit_SH6")</f>
        <v xml:space="preserve">   ZZ_Total_Produit_SH6</v>
      </c>
      <c r="C784">
        <v>796980664</v>
      </c>
      <c r="D784">
        <v>1141859</v>
      </c>
    </row>
    <row r="785" spans="1:4" x14ac:dyDescent="0.25">
      <c r="A785" t="str">
        <f>T("   080290")</f>
        <v xml:space="preserve">   080290</v>
      </c>
      <c r="B785"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785">
        <v>2547000</v>
      </c>
      <c r="D785">
        <v>8490</v>
      </c>
    </row>
    <row r="786" spans="1:4" x14ac:dyDescent="0.25">
      <c r="A786" t="str">
        <f>T("   090420")</f>
        <v xml:space="preserve">   090420</v>
      </c>
      <c r="B786" t="str">
        <f>T("   Piments du genre 'Capsicum' ou du genre 'Pimenta', séchés ou broyés ou pulvérisés")</f>
        <v xml:space="preserve">   Piments du genre 'Capsicum' ou du genre 'Pimenta', séchés ou broyés ou pulvérisés</v>
      </c>
      <c r="C786">
        <v>1515900</v>
      </c>
      <c r="D786">
        <v>4850</v>
      </c>
    </row>
    <row r="787" spans="1:4" x14ac:dyDescent="0.25">
      <c r="A787" t="str">
        <f>T("   110620")</f>
        <v xml:space="preserve">   110620</v>
      </c>
      <c r="B787" t="str">
        <f>T("   Farines, semoules et poudres de sagou ou des racines ou tubercules du n° 0714")</f>
        <v xml:space="preserve">   Farines, semoules et poudres de sagou ou des racines ou tubercules du n° 0714</v>
      </c>
      <c r="C787">
        <v>900000</v>
      </c>
      <c r="D787">
        <v>7000</v>
      </c>
    </row>
    <row r="788" spans="1:4" x14ac:dyDescent="0.25">
      <c r="A788" t="str">
        <f>T("   151110")</f>
        <v xml:space="preserve">   151110</v>
      </c>
      <c r="B788" t="str">
        <f>T("   Huile de palme, brute")</f>
        <v xml:space="preserve">   Huile de palme, brute</v>
      </c>
      <c r="C788">
        <v>132000</v>
      </c>
      <c r="D788">
        <v>440</v>
      </c>
    </row>
    <row r="789" spans="1:4" x14ac:dyDescent="0.25">
      <c r="A789" t="str">
        <f>T("   200949")</f>
        <v xml:space="preserve">   200949</v>
      </c>
      <c r="B78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89">
        <v>1300000</v>
      </c>
      <c r="D789">
        <v>1776</v>
      </c>
    </row>
    <row r="790" spans="1:4" x14ac:dyDescent="0.25">
      <c r="A790" t="str">
        <f>T("   230400")</f>
        <v xml:space="preserve">   230400</v>
      </c>
      <c r="B790"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790">
        <v>49375421</v>
      </c>
      <c r="D790">
        <v>238959</v>
      </c>
    </row>
    <row r="791" spans="1:4" x14ac:dyDescent="0.25">
      <c r="A791" t="str">
        <f>T("   230610")</f>
        <v xml:space="preserve">   230610</v>
      </c>
      <c r="B791"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791">
        <v>33713414</v>
      </c>
      <c r="D791">
        <v>299271</v>
      </c>
    </row>
    <row r="792" spans="1:4" x14ac:dyDescent="0.25">
      <c r="A792" t="str">
        <f>T("   340111")</f>
        <v xml:space="preserve">   340111</v>
      </c>
      <c r="B792" t="s">
        <v>33</v>
      </c>
      <c r="C792">
        <v>2016773</v>
      </c>
      <c r="D792">
        <v>370</v>
      </c>
    </row>
    <row r="793" spans="1:4" x14ac:dyDescent="0.25">
      <c r="A793" t="str">
        <f>T("   340119")</f>
        <v xml:space="preserve">   340119</v>
      </c>
      <c r="B793" t="s">
        <v>34</v>
      </c>
      <c r="C793">
        <v>1000000</v>
      </c>
      <c r="D793">
        <v>3000</v>
      </c>
    </row>
    <row r="794" spans="1:4" x14ac:dyDescent="0.25">
      <c r="A794" t="str">
        <f>T("   482020")</f>
        <v xml:space="preserve">   482020</v>
      </c>
      <c r="B794" t="str">
        <f>T("   Cahiers pour l'écriture, en papier ou carton")</f>
        <v xml:space="preserve">   Cahiers pour l'écriture, en papier ou carton</v>
      </c>
      <c r="C794">
        <v>35493000</v>
      </c>
      <c r="D794">
        <v>75000</v>
      </c>
    </row>
    <row r="795" spans="1:4" x14ac:dyDescent="0.25">
      <c r="A795" t="str">
        <f>T("   490199")</f>
        <v xml:space="preserve">   490199</v>
      </c>
      <c r="B79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95">
        <v>1085000</v>
      </c>
      <c r="D795">
        <v>2250</v>
      </c>
    </row>
    <row r="796" spans="1:4" x14ac:dyDescent="0.25">
      <c r="A796" t="str">
        <f>T("   491199")</f>
        <v xml:space="preserve">   491199</v>
      </c>
      <c r="B796" t="str">
        <f>T("   Imprimés, n.d.a.")</f>
        <v xml:space="preserve">   Imprimés, n.d.a.</v>
      </c>
      <c r="C796">
        <v>250000</v>
      </c>
      <c r="D796">
        <v>930</v>
      </c>
    </row>
    <row r="797" spans="1:4" x14ac:dyDescent="0.25">
      <c r="A797" t="str">
        <f>T("   520812")</f>
        <v xml:space="preserve">   520812</v>
      </c>
      <c r="B797" t="str">
        <f>T("   Tissus de coton, écrus, à armure toile, contenant &gt;= 85% en poids de coton, d'un poids &gt; 100 g/m² mais &lt;= 200 g/m²")</f>
        <v xml:space="preserve">   Tissus de coton, écrus, à armure toile, contenant &gt;= 85% en poids de coton, d'un poids &gt; 100 g/m² mais &lt;= 200 g/m²</v>
      </c>
      <c r="C797">
        <v>24142087</v>
      </c>
      <c r="D797">
        <v>13200</v>
      </c>
    </row>
    <row r="798" spans="1:4" x14ac:dyDescent="0.25">
      <c r="A798" t="str">
        <f>T("   620329")</f>
        <v xml:space="preserve">   620329</v>
      </c>
      <c r="B798"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798">
        <v>1500000</v>
      </c>
      <c r="D798">
        <v>3730</v>
      </c>
    </row>
    <row r="799" spans="1:4" x14ac:dyDescent="0.25">
      <c r="A799" t="str">
        <f>T("   620590")</f>
        <v xml:space="preserve">   620590</v>
      </c>
      <c r="B79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99">
        <v>2200000</v>
      </c>
      <c r="D799">
        <v>2400</v>
      </c>
    </row>
    <row r="800" spans="1:4" x14ac:dyDescent="0.25">
      <c r="A800" t="str">
        <f>T("   621149")</f>
        <v xml:space="preserve">   621149</v>
      </c>
      <c r="B800"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800">
        <v>850000</v>
      </c>
      <c r="D800">
        <v>550</v>
      </c>
    </row>
    <row r="801" spans="1:4" x14ac:dyDescent="0.25">
      <c r="A801" t="str">
        <f>T("   730421")</f>
        <v xml:space="preserve">   730421</v>
      </c>
      <c r="B801" t="str">
        <f>T("   Tiges de forage sans soudure, en fer (à l'excl. de la fonte) ou en acier, des types utilisés pour l'extraction du pétrole ou du gaz")</f>
        <v xml:space="preserve">   Tiges de forage sans soudure, en fer (à l'excl. de la fonte) ou en acier, des types utilisés pour l'extraction du pétrole ou du gaz</v>
      </c>
      <c r="C801">
        <v>7666400</v>
      </c>
      <c r="D801">
        <v>5000</v>
      </c>
    </row>
    <row r="802" spans="1:4" x14ac:dyDescent="0.25">
      <c r="A802" t="str">
        <f>T("   730900")</f>
        <v xml:space="preserve">   730900</v>
      </c>
      <c r="B802" t="s">
        <v>68</v>
      </c>
      <c r="C802">
        <v>22522651</v>
      </c>
      <c r="D802">
        <v>10000</v>
      </c>
    </row>
    <row r="803" spans="1:4" x14ac:dyDescent="0.25">
      <c r="A803" t="str">
        <f>T("   732394")</f>
        <v xml:space="preserve">   732394</v>
      </c>
      <c r="B803" t="s">
        <v>73</v>
      </c>
      <c r="C803">
        <v>1900000</v>
      </c>
      <c r="D803">
        <v>2850</v>
      </c>
    </row>
    <row r="804" spans="1:4" x14ac:dyDescent="0.25">
      <c r="A804" t="str">
        <f>T("   841829")</f>
        <v xml:space="preserve">   841829</v>
      </c>
      <c r="B804" t="str">
        <f>T("   Réfrigérateurs ménagers à absorption, non-électriques")</f>
        <v xml:space="preserve">   Réfrigérateurs ménagers à absorption, non-électriques</v>
      </c>
      <c r="C804">
        <v>300000</v>
      </c>
      <c r="D804">
        <v>120</v>
      </c>
    </row>
    <row r="805" spans="1:4" x14ac:dyDescent="0.25">
      <c r="A805" t="str">
        <f>T("   842649")</f>
        <v xml:space="preserve">   842649</v>
      </c>
      <c r="B805" t="str">
        <f>T("   Bigues et chariots-grues et appareils autopropulsés (autres que sur pneumatiques et sauf chariots-cavaliers)")</f>
        <v xml:space="preserve">   Bigues et chariots-grues et appareils autopropulsés (autres que sur pneumatiques et sauf chariots-cavaliers)</v>
      </c>
      <c r="C805">
        <v>53940103</v>
      </c>
      <c r="D805">
        <v>40000</v>
      </c>
    </row>
    <row r="806" spans="1:4" x14ac:dyDescent="0.25">
      <c r="A806" t="str">
        <f>T("   843149")</f>
        <v xml:space="preserve">   843149</v>
      </c>
      <c r="B806" t="str">
        <f>T("   Parties de machines et appareils du n° 8426, 8429 ou 8430, n.d.a.")</f>
        <v xml:space="preserve">   Parties de machines et appareils du n° 8426, 8429 ou 8430, n.d.a.</v>
      </c>
      <c r="C806">
        <v>24969117</v>
      </c>
      <c r="D806">
        <v>8373</v>
      </c>
    </row>
    <row r="807" spans="1:4" x14ac:dyDescent="0.25">
      <c r="A807" t="str">
        <f>T("   850212")</f>
        <v xml:space="preserve">   850212</v>
      </c>
      <c r="B807"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807">
        <v>117366335</v>
      </c>
      <c r="D807">
        <v>288000</v>
      </c>
    </row>
    <row r="808" spans="1:4" x14ac:dyDescent="0.25">
      <c r="A808" t="str">
        <f>T("   850300")</f>
        <v xml:space="preserve">   850300</v>
      </c>
      <c r="B80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808">
        <v>24863123</v>
      </c>
      <c r="D808">
        <v>16500</v>
      </c>
    </row>
    <row r="809" spans="1:4" x14ac:dyDescent="0.25">
      <c r="A809" t="str">
        <f>T("   850422")</f>
        <v xml:space="preserve">   850422</v>
      </c>
      <c r="B809" t="str">
        <f>T("   Transformateurs à diélectrique liquide, puissance &gt; 650 kVA mais &lt;= 10.000 kVA")</f>
        <v xml:space="preserve">   Transformateurs à diélectrique liquide, puissance &gt; 650 kVA mais &lt;= 10.000 kVA</v>
      </c>
      <c r="C809">
        <v>256579235</v>
      </c>
      <c r="D809">
        <v>60000</v>
      </c>
    </row>
    <row r="810" spans="1:4" x14ac:dyDescent="0.25">
      <c r="A810" t="str">
        <f>T("   870322")</f>
        <v xml:space="preserve">   870322</v>
      </c>
      <c r="B810" t="s">
        <v>95</v>
      </c>
      <c r="C810">
        <v>24185755</v>
      </c>
      <c r="D810">
        <v>6340</v>
      </c>
    </row>
    <row r="811" spans="1:4" x14ac:dyDescent="0.25">
      <c r="A811" t="str">
        <f>T("   870323")</f>
        <v xml:space="preserve">   870323</v>
      </c>
      <c r="B811" t="s">
        <v>96</v>
      </c>
      <c r="C811">
        <v>3561000</v>
      </c>
      <c r="D811">
        <v>1860</v>
      </c>
    </row>
    <row r="812" spans="1:4" x14ac:dyDescent="0.25">
      <c r="A812" t="str">
        <f>T("   870520")</f>
        <v xml:space="preserve">   870520</v>
      </c>
      <c r="B812" t="str">
        <f>T("   Derricks automobiles pour le sondage ou le forage")</f>
        <v xml:space="preserve">   Derricks automobiles pour le sondage ou le forage</v>
      </c>
      <c r="C812">
        <v>92226350</v>
      </c>
      <c r="D812">
        <v>21000</v>
      </c>
    </row>
    <row r="813" spans="1:4" x14ac:dyDescent="0.25">
      <c r="A813" t="str">
        <f>T("   940350")</f>
        <v xml:space="preserve">   940350</v>
      </c>
      <c r="B813" t="str">
        <f>T("   Meubles pour chambres à coucher, en bois (sauf sièges)")</f>
        <v xml:space="preserve">   Meubles pour chambres à coucher, en bois (sauf sièges)</v>
      </c>
      <c r="C813">
        <v>4100000</v>
      </c>
      <c r="D813">
        <v>7600</v>
      </c>
    </row>
    <row r="814" spans="1:4" x14ac:dyDescent="0.25">
      <c r="A814" t="str">
        <f>T("   940360")</f>
        <v xml:space="preserve">   940360</v>
      </c>
      <c r="B814" t="str">
        <f>T("   Meubles en bois (autres que pour bureaux, cuisines ou chambres à coucher et autres que sièges)")</f>
        <v xml:space="preserve">   Meubles en bois (autres que pour bureaux, cuisines ou chambres à coucher et autres que sièges)</v>
      </c>
      <c r="C814">
        <v>4780000</v>
      </c>
      <c r="D814">
        <v>12000</v>
      </c>
    </row>
    <row r="815" spans="1:4" x14ac:dyDescent="0.25">
      <c r="A815" t="str">
        <f>T("SZ")</f>
        <v>SZ</v>
      </c>
      <c r="B815" t="str">
        <f>T("Swaziland")</f>
        <v>Swaziland</v>
      </c>
    </row>
    <row r="816" spans="1:4" x14ac:dyDescent="0.25">
      <c r="A816" t="str">
        <f>T("   ZZ_Total_Produit_SH6")</f>
        <v xml:space="preserve">   ZZ_Total_Produit_SH6</v>
      </c>
      <c r="B816" t="str">
        <f>T("   ZZ_Total_Produit_SH6")</f>
        <v xml:space="preserve">   ZZ_Total_Produit_SH6</v>
      </c>
      <c r="C816">
        <v>45746362</v>
      </c>
      <c r="D816">
        <v>114363</v>
      </c>
    </row>
    <row r="817" spans="1:4" x14ac:dyDescent="0.25">
      <c r="A817" t="str">
        <f>T("   520100")</f>
        <v xml:space="preserve">   520100</v>
      </c>
      <c r="B817" t="str">
        <f>T("   COTON, NON-CARDÉ NI PEIGNÉ")</f>
        <v xml:space="preserve">   COTON, NON-CARDÉ NI PEIGNÉ</v>
      </c>
      <c r="C817">
        <v>45746362</v>
      </c>
      <c r="D817">
        <v>114363</v>
      </c>
    </row>
    <row r="818" spans="1:4" x14ac:dyDescent="0.25">
      <c r="A818" t="str">
        <f>T("TD")</f>
        <v>TD</v>
      </c>
      <c r="B818" t="str">
        <f>T("Tchad")</f>
        <v>Tchad</v>
      </c>
    </row>
    <row r="819" spans="1:4" x14ac:dyDescent="0.25">
      <c r="A819" t="str">
        <f>T("   ZZ_Total_Produit_SH6")</f>
        <v xml:space="preserve">   ZZ_Total_Produit_SH6</v>
      </c>
      <c r="B819" t="str">
        <f>T("   ZZ_Total_Produit_SH6")</f>
        <v xml:space="preserve">   ZZ_Total_Produit_SH6</v>
      </c>
      <c r="C819">
        <v>9391833962</v>
      </c>
      <c r="D819">
        <v>25938418</v>
      </c>
    </row>
    <row r="820" spans="1:4" x14ac:dyDescent="0.25">
      <c r="A820" t="str">
        <f>T("   320890")</f>
        <v xml:space="preserve">   320890</v>
      </c>
      <c r="B820" t="s">
        <v>30</v>
      </c>
      <c r="C820">
        <v>15063600</v>
      </c>
      <c r="D820">
        <v>6540</v>
      </c>
    </row>
    <row r="821" spans="1:4" x14ac:dyDescent="0.25">
      <c r="A821" t="str">
        <f>T("   391721")</f>
        <v xml:space="preserve">   391721</v>
      </c>
      <c r="B821" t="str">
        <f>T("   TUBES ET TUYAUX RIGIDES, EN POLYMÈRES DE L'ÉTHYLÈNE")</f>
        <v xml:space="preserve">   TUBES ET TUYAUX RIGIDES, EN POLYMÈRES DE L'ÉTHYLÈNE</v>
      </c>
      <c r="C821">
        <v>96218000</v>
      </c>
      <c r="D821">
        <v>74375</v>
      </c>
    </row>
    <row r="822" spans="1:4" x14ac:dyDescent="0.25">
      <c r="A822" t="str">
        <f>T("   720851")</f>
        <v xml:space="preserve">   720851</v>
      </c>
      <c r="B822" t="str">
        <f>T("   PRODUITS LAMINÉS PLATS, EN FER OU EN ACIERS NON-ALLIÉS, D'UNE LARGEUR &gt;= 600 MM, NON-ENROULÉS, SIMPL. LAMINÉS À CHAUD, NON-PLAQUÉS NI REVÊTUS, ÉPAISSEUR &gt; 10 MM (SANS MOTIFS EN RELIEF)")</f>
        <v xml:space="preserve">   PRODUITS LAMINÉS PLATS, EN FER OU EN ACIERS NON-ALLIÉS, D'UNE LARGEUR &gt;= 600 MM, NON-ENROULÉS, SIMPL. LAMINÉS À CHAUD, NON-PLAQUÉS NI REVÊTUS, ÉPAISSEUR &gt; 10 MM (SANS MOTIFS EN RELIEF)</v>
      </c>
      <c r="C822">
        <v>24460000</v>
      </c>
      <c r="D822">
        <v>48920</v>
      </c>
    </row>
    <row r="823" spans="1:4" x14ac:dyDescent="0.25">
      <c r="A823" t="str">
        <f>T("   720917")</f>
        <v xml:space="preserve">   720917</v>
      </c>
      <c r="B823"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823">
        <v>155201140</v>
      </c>
      <c r="D823">
        <v>331620</v>
      </c>
    </row>
    <row r="824" spans="1:4" x14ac:dyDescent="0.25">
      <c r="A824" t="str">
        <f>T("   720990")</f>
        <v xml:space="preserve">   720990</v>
      </c>
      <c r="B824"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824">
        <v>12499050</v>
      </c>
      <c r="D824">
        <v>25000</v>
      </c>
    </row>
    <row r="825" spans="1:4" x14ac:dyDescent="0.25">
      <c r="A825" t="str">
        <f>T("   721049")</f>
        <v xml:space="preserve">   721049</v>
      </c>
      <c r="B825"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25">
        <v>11148644</v>
      </c>
      <c r="D825">
        <v>20000</v>
      </c>
    </row>
    <row r="826" spans="1:4" x14ac:dyDescent="0.25">
      <c r="A826" t="str">
        <f>T("   721391")</f>
        <v xml:space="preserve">   721391</v>
      </c>
      <c r="B826"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826">
        <v>3460413934</v>
      </c>
      <c r="D826">
        <v>12176000</v>
      </c>
    </row>
    <row r="827" spans="1:4" x14ac:dyDescent="0.25">
      <c r="A827" t="str">
        <f>T("   721590")</f>
        <v xml:space="preserve">   721590</v>
      </c>
      <c r="B827"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827">
        <v>4778583467</v>
      </c>
      <c r="D827">
        <v>12279535</v>
      </c>
    </row>
    <row r="828" spans="1:4" x14ac:dyDescent="0.25">
      <c r="A828" t="str">
        <f>T("   721650")</f>
        <v xml:space="preserve">   721650</v>
      </c>
      <c r="B828"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828">
        <v>12750000</v>
      </c>
      <c r="D828">
        <v>25000</v>
      </c>
    </row>
    <row r="829" spans="1:4" x14ac:dyDescent="0.25">
      <c r="A829" t="str">
        <f>T("   721790")</f>
        <v xml:space="preserve">   721790</v>
      </c>
      <c r="B829"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829">
        <v>99320000</v>
      </c>
      <c r="D829">
        <v>196000</v>
      </c>
    </row>
    <row r="830" spans="1:4" x14ac:dyDescent="0.25">
      <c r="A830" t="str">
        <f>T("   731700")</f>
        <v xml:space="preserve">   731700</v>
      </c>
      <c r="B830"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830">
        <v>311510000</v>
      </c>
      <c r="D830">
        <v>604000</v>
      </c>
    </row>
    <row r="831" spans="1:4" x14ac:dyDescent="0.25">
      <c r="A831" t="str">
        <f>T("   842959")</f>
        <v xml:space="preserve">   842959</v>
      </c>
      <c r="B831"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831">
        <v>149279452</v>
      </c>
      <c r="D831">
        <v>50036</v>
      </c>
    </row>
    <row r="832" spans="1:4" x14ac:dyDescent="0.25">
      <c r="A832" t="str">
        <f>T("   847431")</f>
        <v xml:space="preserve">   847431</v>
      </c>
      <c r="B832"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832">
        <v>9400000</v>
      </c>
      <c r="D832">
        <v>9000</v>
      </c>
    </row>
    <row r="833" spans="1:4" x14ac:dyDescent="0.25">
      <c r="A833" t="str">
        <f>T("   870130")</f>
        <v xml:space="preserve">   870130</v>
      </c>
      <c r="B833" t="str">
        <f>T("   Tracteurs à chenilles (sauf motoculteurs à chenille)")</f>
        <v xml:space="preserve">   Tracteurs à chenilles (sauf motoculteurs à chenille)</v>
      </c>
      <c r="C833">
        <v>68694355</v>
      </c>
      <c r="D833">
        <v>13192</v>
      </c>
    </row>
    <row r="834" spans="1:4" x14ac:dyDescent="0.25">
      <c r="A834" t="str">
        <f>T("   870422")</f>
        <v xml:space="preserve">   870422</v>
      </c>
      <c r="B834" t="s">
        <v>101</v>
      </c>
      <c r="C834">
        <v>187292320</v>
      </c>
      <c r="D834">
        <v>79200</v>
      </c>
    </row>
    <row r="835" spans="1:4" x14ac:dyDescent="0.25">
      <c r="A835" t="str">
        <f>T("TG")</f>
        <v>TG</v>
      </c>
      <c r="B835" t="str">
        <f>T("Togo")</f>
        <v>Togo</v>
      </c>
    </row>
    <row r="836" spans="1:4" x14ac:dyDescent="0.25">
      <c r="A836" t="str">
        <f>T("   ZZ_Total_Produit_SH6")</f>
        <v xml:space="preserve">   ZZ_Total_Produit_SH6</v>
      </c>
      <c r="B836" t="str">
        <f>T("   ZZ_Total_Produit_SH6")</f>
        <v xml:space="preserve">   ZZ_Total_Produit_SH6</v>
      </c>
      <c r="C836">
        <v>4485621694</v>
      </c>
      <c r="D836">
        <v>29229484.5</v>
      </c>
    </row>
    <row r="837" spans="1:4" x14ac:dyDescent="0.25">
      <c r="A837" t="str">
        <f>T("   010519")</f>
        <v xml:space="preserve">   010519</v>
      </c>
      <c r="B837" t="str">
        <f>T("   CANARDS, OIES ET PINTADES [DES ESPÈCES DOMESTIQUES], VIVANTS, D'UN POIDS &lt;= 185 G")</f>
        <v xml:space="preserve">   CANARDS, OIES ET PINTADES [DES ESPÈCES DOMESTIQUES], VIVANTS, D'UN POIDS &lt;= 185 G</v>
      </c>
      <c r="C837">
        <v>25000</v>
      </c>
      <c r="D837">
        <v>5</v>
      </c>
    </row>
    <row r="838" spans="1:4" x14ac:dyDescent="0.25">
      <c r="A838" t="str">
        <f>T("   030379")</f>
        <v xml:space="preserve">   030379</v>
      </c>
      <c r="B838" t="s">
        <v>13</v>
      </c>
      <c r="C838">
        <v>569656090</v>
      </c>
      <c r="D838">
        <v>993435</v>
      </c>
    </row>
    <row r="839" spans="1:4" x14ac:dyDescent="0.25">
      <c r="A839" t="str">
        <f>T("   040310")</f>
        <v xml:space="preserve">   040310</v>
      </c>
      <c r="B839" t="str">
        <f>T("   Yoghourts, même additionnés de sucre ou d'autres édulcorants ou aromatisés ou additionnés de fruits ou de cacao")</f>
        <v xml:space="preserve">   Yoghourts, même additionnés de sucre ou d'autres édulcorants ou aromatisés ou additionnés de fruits ou de cacao</v>
      </c>
      <c r="C839">
        <v>1617000</v>
      </c>
      <c r="D839">
        <v>10050</v>
      </c>
    </row>
    <row r="840" spans="1:4" x14ac:dyDescent="0.25">
      <c r="A840" t="str">
        <f>T("   080430")</f>
        <v xml:space="preserve">   080430</v>
      </c>
      <c r="B840" t="str">
        <f>T("   Ananas, frais ou secs")</f>
        <v xml:space="preserve">   Ananas, frais ou secs</v>
      </c>
      <c r="C840">
        <v>500000</v>
      </c>
      <c r="D840">
        <v>3500</v>
      </c>
    </row>
    <row r="841" spans="1:4" x14ac:dyDescent="0.25">
      <c r="A841" t="str">
        <f>T("   100590")</f>
        <v xml:space="preserve">   100590</v>
      </c>
      <c r="B841" t="str">
        <f>T("   Maïs (autre que de semence)")</f>
        <v xml:space="preserve">   Maïs (autre que de semence)</v>
      </c>
      <c r="C841">
        <v>77185675</v>
      </c>
      <c r="D841">
        <v>342000</v>
      </c>
    </row>
    <row r="842" spans="1:4" x14ac:dyDescent="0.25">
      <c r="A842" t="str">
        <f>T("   100630")</f>
        <v xml:space="preserve">   100630</v>
      </c>
      <c r="B842" t="str">
        <f>T("   Riz semi-blanchi ou blanchi, même poli ou glacé")</f>
        <v xml:space="preserve">   Riz semi-blanchi ou blanchi, même poli ou glacé</v>
      </c>
      <c r="C842">
        <v>25000000</v>
      </c>
      <c r="D842">
        <v>500000</v>
      </c>
    </row>
    <row r="843" spans="1:4" x14ac:dyDescent="0.25">
      <c r="A843" t="str">
        <f>T("   120100")</f>
        <v xml:space="preserve">   120100</v>
      </c>
      <c r="B843" t="str">
        <f>T("   Fèves de soja, même concassées")</f>
        <v xml:space="preserve">   Fèves de soja, même concassées</v>
      </c>
      <c r="C843">
        <v>6145875</v>
      </c>
      <c r="D843">
        <v>106575</v>
      </c>
    </row>
    <row r="844" spans="1:4" x14ac:dyDescent="0.25">
      <c r="A844" t="str">
        <f>T("   120710")</f>
        <v xml:space="preserve">   120710</v>
      </c>
      <c r="B844" t="str">
        <f>T("   NOIX ET AMANDES DE PALMISTES")</f>
        <v xml:space="preserve">   NOIX ET AMANDES DE PALMISTES</v>
      </c>
      <c r="C844">
        <v>43293162</v>
      </c>
      <c r="D844">
        <v>572</v>
      </c>
    </row>
    <row r="845" spans="1:4" x14ac:dyDescent="0.25">
      <c r="A845" t="str">
        <f>T("   151190")</f>
        <v xml:space="preserve">   151190</v>
      </c>
      <c r="B845" t="str">
        <f>T("   Huile de palme et ses fractions, même raffinées, mais non chimiquement modifiées (à l'excl. de l'huile de palme brute)")</f>
        <v xml:space="preserve">   Huile de palme et ses fractions, même raffinées, mais non chimiquement modifiées (à l'excl. de l'huile de palme brute)</v>
      </c>
      <c r="C845">
        <v>16784513</v>
      </c>
      <c r="D845">
        <v>26000</v>
      </c>
    </row>
    <row r="846" spans="1:4" x14ac:dyDescent="0.25">
      <c r="A846" t="str">
        <f>T("   151590")</f>
        <v xml:space="preserve">   151590</v>
      </c>
      <c r="B846" t="s">
        <v>17</v>
      </c>
      <c r="C846">
        <v>11241744</v>
      </c>
      <c r="D846">
        <v>23000</v>
      </c>
    </row>
    <row r="847" spans="1:4" x14ac:dyDescent="0.25">
      <c r="A847" t="str">
        <f>T("   210390")</f>
        <v xml:space="preserve">   210390</v>
      </c>
      <c r="B84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847">
        <v>2587200</v>
      </c>
      <c r="D847">
        <v>7847</v>
      </c>
    </row>
    <row r="848" spans="1:4" x14ac:dyDescent="0.25">
      <c r="A848" t="str">
        <f>T("   210690")</f>
        <v xml:space="preserve">   210690</v>
      </c>
      <c r="B848" t="str">
        <f>T("   Préparations alimentaires, n.d.a.")</f>
        <v xml:space="preserve">   Préparations alimentaires, n.d.a.</v>
      </c>
      <c r="C848">
        <v>48702505</v>
      </c>
      <c r="D848">
        <v>17946</v>
      </c>
    </row>
    <row r="849" spans="1:4" x14ac:dyDescent="0.25">
      <c r="A849" t="str">
        <f>T("   220110")</f>
        <v xml:space="preserve">   220110</v>
      </c>
      <c r="B849" t="str">
        <f>T("   Eaux minérales et eaux gazéifiées, non additionnées de sucre ou d'autres édulcorants ni aromatisées")</f>
        <v xml:space="preserve">   Eaux minérales et eaux gazéifiées, non additionnées de sucre ou d'autres édulcorants ni aromatisées</v>
      </c>
      <c r="C849">
        <v>80175778</v>
      </c>
      <c r="D849">
        <v>414099</v>
      </c>
    </row>
    <row r="850" spans="1:4" x14ac:dyDescent="0.25">
      <c r="A850" t="str">
        <f>T("   220210")</f>
        <v xml:space="preserve">   220210</v>
      </c>
      <c r="B850"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850">
        <v>54247422</v>
      </c>
      <c r="D850">
        <v>138238</v>
      </c>
    </row>
    <row r="851" spans="1:4" x14ac:dyDescent="0.25">
      <c r="A851" t="str">
        <f>T("   230400")</f>
        <v xml:space="preserve">   230400</v>
      </c>
      <c r="B851"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851">
        <v>740117928</v>
      </c>
      <c r="D851">
        <v>3985073</v>
      </c>
    </row>
    <row r="852" spans="1:4" x14ac:dyDescent="0.25">
      <c r="A852" t="str">
        <f>T("   230610")</f>
        <v xml:space="preserve">   230610</v>
      </c>
      <c r="B852"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852">
        <v>891528985</v>
      </c>
      <c r="D852">
        <v>5844113</v>
      </c>
    </row>
    <row r="853" spans="1:4" x14ac:dyDescent="0.25">
      <c r="A853" t="str">
        <f>T("   251520")</f>
        <v xml:space="preserve">   251520</v>
      </c>
      <c r="B853" t="s">
        <v>25</v>
      </c>
      <c r="C853">
        <v>143565311</v>
      </c>
      <c r="D853">
        <v>14732425</v>
      </c>
    </row>
    <row r="854" spans="1:4" x14ac:dyDescent="0.25">
      <c r="A854" t="str">
        <f>T("   271320")</f>
        <v xml:space="preserve">   271320</v>
      </c>
      <c r="B854" t="str">
        <f>T("   Bitume de pétrole")</f>
        <v xml:space="preserve">   Bitume de pétrole</v>
      </c>
      <c r="C854">
        <v>17464000</v>
      </c>
      <c r="D854">
        <v>58000</v>
      </c>
    </row>
    <row r="855" spans="1:4" x14ac:dyDescent="0.25">
      <c r="A855" t="str">
        <f>T("   271490")</f>
        <v xml:space="preserve">   271490</v>
      </c>
      <c r="B855" t="str">
        <f>T("   Bitumes et asphaltes, naturels; asphaltites et roches asphaltiques")</f>
        <v xml:space="preserve">   Bitumes et asphaltes, naturels; asphaltites et roches asphaltiques</v>
      </c>
      <c r="C855">
        <v>11120000</v>
      </c>
      <c r="D855">
        <v>40000</v>
      </c>
    </row>
    <row r="856" spans="1:4" x14ac:dyDescent="0.25">
      <c r="A856" t="str">
        <f>T("   280610")</f>
        <v xml:space="preserve">   280610</v>
      </c>
      <c r="B856" t="str">
        <f>T("   Chlorure d'hydrogène [acide chlorhydrique]")</f>
        <v xml:space="preserve">   Chlorure d'hydrogène [acide chlorhydrique]</v>
      </c>
      <c r="C856">
        <v>2125000</v>
      </c>
      <c r="D856">
        <v>2000</v>
      </c>
    </row>
    <row r="857" spans="1:4" x14ac:dyDescent="0.25">
      <c r="A857" t="str">
        <f>T("   300490")</f>
        <v xml:space="preserve">   300490</v>
      </c>
      <c r="B857" t="s">
        <v>27</v>
      </c>
      <c r="C857">
        <v>38940694</v>
      </c>
      <c r="D857">
        <v>5130</v>
      </c>
    </row>
    <row r="858" spans="1:4" x14ac:dyDescent="0.25">
      <c r="A858" t="str">
        <f>T("   300590")</f>
        <v xml:space="preserve">   300590</v>
      </c>
      <c r="B858" t="s">
        <v>28</v>
      </c>
      <c r="C858">
        <v>6438200</v>
      </c>
      <c r="D858">
        <v>3322.5</v>
      </c>
    </row>
    <row r="859" spans="1:4" x14ac:dyDescent="0.25">
      <c r="A859" t="str">
        <f>T("   310230")</f>
        <v xml:space="preserve">   310230</v>
      </c>
      <c r="B859" t="str">
        <f>T("   Nitrate d'ammonium, même en solution aqueuse (à l'excl. des produits présentés soit en tablettes ou formes simil., soit en emballages d'un poids brut &lt;= 10 kg)")</f>
        <v xml:space="preserve">   Nitrate d'ammonium, même en solution aqueuse (à l'excl. des produits présentés soit en tablettes ou formes simil., soit en emballages d'un poids brut &lt;= 10 kg)</v>
      </c>
      <c r="C859">
        <v>8133860</v>
      </c>
      <c r="D859">
        <v>20000</v>
      </c>
    </row>
    <row r="860" spans="1:4" x14ac:dyDescent="0.25">
      <c r="A860" t="str">
        <f>T("   320710")</f>
        <v xml:space="preserve">   320710</v>
      </c>
      <c r="B860" t="str">
        <f>T("   Pigments, opacifiants et couleurs préparés et préparations simil., des types utilisés pour la céramique, l'émaillerie ou la verrerie")</f>
        <v xml:space="preserve">   Pigments, opacifiants et couleurs préparés et préparations simil., des types utilisés pour la céramique, l'émaillerie ou la verrerie</v>
      </c>
      <c r="C860">
        <v>600000</v>
      </c>
      <c r="D860">
        <v>2000</v>
      </c>
    </row>
    <row r="861" spans="1:4" x14ac:dyDescent="0.25">
      <c r="A861" t="str">
        <f>T("   320820")</f>
        <v xml:space="preserve">   320820</v>
      </c>
      <c r="B861" t="s">
        <v>29</v>
      </c>
      <c r="C861">
        <v>33350215</v>
      </c>
      <c r="D861">
        <v>58247</v>
      </c>
    </row>
    <row r="862" spans="1:4" x14ac:dyDescent="0.25">
      <c r="A862" t="str">
        <f>T("   320890")</f>
        <v xml:space="preserve">   320890</v>
      </c>
      <c r="B862" t="s">
        <v>30</v>
      </c>
      <c r="C862">
        <v>40448231</v>
      </c>
      <c r="D862">
        <v>14092</v>
      </c>
    </row>
    <row r="863" spans="1:4" x14ac:dyDescent="0.25">
      <c r="A863" t="str">
        <f>T("   320910")</f>
        <v xml:space="preserve">   320910</v>
      </c>
      <c r="B863" t="str">
        <f>T("   Peintures et vernis à base de polymères acryliques ou vinyliques, dispersés ou dissous dans un milieu aqueux")</f>
        <v xml:space="preserve">   Peintures et vernis à base de polymères acryliques ou vinyliques, dispersés ou dissous dans un milieu aqueux</v>
      </c>
      <c r="C863">
        <v>9860638</v>
      </c>
      <c r="D863">
        <v>15120</v>
      </c>
    </row>
    <row r="864" spans="1:4" x14ac:dyDescent="0.25">
      <c r="A864" t="str">
        <f>T("   320990")</f>
        <v xml:space="preserve">   320990</v>
      </c>
      <c r="B864"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864">
        <v>10018806</v>
      </c>
      <c r="D864">
        <v>15686</v>
      </c>
    </row>
    <row r="865" spans="1:4" x14ac:dyDescent="0.25">
      <c r="A865" t="str">
        <f>T("   321290")</f>
        <v xml:space="preserve">   321290</v>
      </c>
      <c r="B865" t="s">
        <v>31</v>
      </c>
      <c r="C865">
        <v>832800</v>
      </c>
      <c r="D865">
        <v>120</v>
      </c>
    </row>
    <row r="866" spans="1:4" x14ac:dyDescent="0.25">
      <c r="A866" t="str">
        <f>T("   330300")</f>
        <v xml:space="preserve">   330300</v>
      </c>
      <c r="B866"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866">
        <v>9960000</v>
      </c>
      <c r="D866">
        <v>2500</v>
      </c>
    </row>
    <row r="867" spans="1:4" x14ac:dyDescent="0.25">
      <c r="A867" t="str">
        <f>T("   330491")</f>
        <v xml:space="preserve">   330491</v>
      </c>
      <c r="B867"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867">
        <v>1667000</v>
      </c>
      <c r="D867">
        <v>500</v>
      </c>
    </row>
    <row r="868" spans="1:4" x14ac:dyDescent="0.25">
      <c r="A868" t="str">
        <f>T("   330720")</f>
        <v xml:space="preserve">   330720</v>
      </c>
      <c r="B868" t="str">
        <f>T("   Désodorisants corporels et antisudoraux, préparés")</f>
        <v xml:space="preserve">   Désodorisants corporels et antisudoraux, préparés</v>
      </c>
      <c r="C868">
        <v>8064000</v>
      </c>
      <c r="D868">
        <v>2000</v>
      </c>
    </row>
    <row r="869" spans="1:4" x14ac:dyDescent="0.25">
      <c r="A869" t="str">
        <f>T("   340212")</f>
        <v xml:space="preserve">   340212</v>
      </c>
      <c r="B869" t="str">
        <f>T("   Agents de surface organiques, cationiques, même conditionnés pour la vente au détail (à l'excl. des savons)")</f>
        <v xml:space="preserve">   Agents de surface organiques, cationiques, même conditionnés pour la vente au détail (à l'excl. des savons)</v>
      </c>
      <c r="C869">
        <v>2636080</v>
      </c>
      <c r="D869">
        <v>937</v>
      </c>
    </row>
    <row r="870" spans="1:4" x14ac:dyDescent="0.25">
      <c r="A870" t="str">
        <f>T("   360200")</f>
        <v xml:space="preserve">   360200</v>
      </c>
      <c r="B870" t="str">
        <f>T("   Explosifs préparés (à l'excl. des poudres propulsives)")</f>
        <v xml:space="preserve">   Explosifs préparés (à l'excl. des poudres propulsives)</v>
      </c>
      <c r="C870">
        <v>20913000</v>
      </c>
      <c r="D870">
        <v>18482</v>
      </c>
    </row>
    <row r="871" spans="1:4" x14ac:dyDescent="0.25">
      <c r="A871" t="str">
        <f>T("   360300")</f>
        <v xml:space="preserve">   360300</v>
      </c>
      <c r="B871"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871">
        <v>6366600</v>
      </c>
      <c r="D871">
        <v>3198</v>
      </c>
    </row>
    <row r="872" spans="1:4" x14ac:dyDescent="0.25">
      <c r="A872" t="str">
        <f>T("   381400")</f>
        <v xml:space="preserve">   381400</v>
      </c>
      <c r="B872"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872">
        <v>30000</v>
      </c>
      <c r="D872">
        <v>60</v>
      </c>
    </row>
    <row r="873" spans="1:4" x14ac:dyDescent="0.25">
      <c r="A873" t="str">
        <f>T("   391590")</f>
        <v xml:space="preserve">   391590</v>
      </c>
      <c r="B873" t="str">
        <f>T("   Déchets, rognures et débris de matières plastiques (à l'excl. des déchets, rognures et débris de polymères de l'éthylène, du styrène ou du chlorure de vinyle)")</f>
        <v xml:space="preserve">   Déchets, rognures et débris de matières plastiques (à l'excl. des déchets, rognures et débris de polymères de l'éthylène, du styrène ou du chlorure de vinyle)</v>
      </c>
      <c r="C873">
        <v>13541875</v>
      </c>
      <c r="D873">
        <v>541675</v>
      </c>
    </row>
    <row r="874" spans="1:4" x14ac:dyDescent="0.25">
      <c r="A874" t="str">
        <f>T("   391721")</f>
        <v xml:space="preserve">   391721</v>
      </c>
      <c r="B874" t="str">
        <f>T("   TUBES ET TUYAUX RIGIDES, EN POLYMÈRES DE L'ÉTHYLÈNE")</f>
        <v xml:space="preserve">   TUBES ET TUYAUX RIGIDES, EN POLYMÈRES DE L'ÉTHYLÈNE</v>
      </c>
      <c r="C874">
        <v>148143230</v>
      </c>
      <c r="D874">
        <v>174219</v>
      </c>
    </row>
    <row r="875" spans="1:4" x14ac:dyDescent="0.25">
      <c r="A875" t="str">
        <f>T("   391739")</f>
        <v xml:space="preserve">   391739</v>
      </c>
      <c r="B875"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875">
        <v>33426200</v>
      </c>
      <c r="D875">
        <v>26938</v>
      </c>
    </row>
    <row r="876" spans="1:4" x14ac:dyDescent="0.25">
      <c r="A876" t="str">
        <f>T("   391740")</f>
        <v xml:space="preserve">   391740</v>
      </c>
      <c r="B876" t="str">
        <f>T("   Accessoires pour tubes ou tuyaux [joints, coudes, raccords, par exemple], en matières plastiques")</f>
        <v xml:space="preserve">   Accessoires pour tubes ou tuyaux [joints, coudes, raccords, par exemple], en matières plastiques</v>
      </c>
      <c r="C876">
        <v>3414250</v>
      </c>
      <c r="D876">
        <v>4720</v>
      </c>
    </row>
    <row r="877" spans="1:4" x14ac:dyDescent="0.25">
      <c r="A877" t="str">
        <f>T("   392310")</f>
        <v xml:space="preserve">   392310</v>
      </c>
      <c r="B877" t="str">
        <f>T("   Boîtes, caisses, casiers et articles simil. pour le transport ou l'emballage, en matières plastiques")</f>
        <v xml:space="preserve">   Boîtes, caisses, casiers et articles simil. pour le transport ou l'emballage, en matières plastiques</v>
      </c>
      <c r="C877">
        <v>2757794</v>
      </c>
      <c r="D877">
        <v>2365</v>
      </c>
    </row>
    <row r="878" spans="1:4" x14ac:dyDescent="0.25">
      <c r="A878" t="str">
        <f>T("   401120")</f>
        <v xml:space="preserve">   401120</v>
      </c>
      <c r="B878"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78">
        <v>5244032</v>
      </c>
      <c r="D878">
        <v>4868</v>
      </c>
    </row>
    <row r="879" spans="1:4" x14ac:dyDescent="0.25">
      <c r="A879" t="str">
        <f>T("   401199")</f>
        <v xml:space="preserve">   401199</v>
      </c>
      <c r="B879" t="s">
        <v>36</v>
      </c>
      <c r="C879">
        <v>7381200</v>
      </c>
      <c r="D879">
        <v>1672</v>
      </c>
    </row>
    <row r="880" spans="1:4" x14ac:dyDescent="0.25">
      <c r="A880" t="str">
        <f>T("   401220")</f>
        <v xml:space="preserve">   401220</v>
      </c>
      <c r="B880" t="str">
        <f>T("   Pneumatiques usagés, en caoutchouc")</f>
        <v xml:space="preserve">   Pneumatiques usagés, en caoutchouc</v>
      </c>
      <c r="C880">
        <v>5500000</v>
      </c>
      <c r="D880">
        <v>3500</v>
      </c>
    </row>
    <row r="881" spans="1:4" x14ac:dyDescent="0.25">
      <c r="A881" t="str">
        <f>T("   481810")</f>
        <v xml:space="preserve">   481810</v>
      </c>
      <c r="B881" t="str">
        <f>T("   Papier hygiénique, en rouleaux d'une largeur &lt;= 36 cm")</f>
        <v xml:space="preserve">   Papier hygiénique, en rouleaux d'une largeur &lt;= 36 cm</v>
      </c>
      <c r="C881">
        <v>1710000</v>
      </c>
      <c r="D881">
        <v>5800</v>
      </c>
    </row>
    <row r="882" spans="1:4" x14ac:dyDescent="0.25">
      <c r="A882" t="str">
        <f>T("   481820")</f>
        <v xml:space="preserve">   481820</v>
      </c>
      <c r="B882"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882">
        <v>4134000</v>
      </c>
      <c r="D882">
        <v>3400</v>
      </c>
    </row>
    <row r="883" spans="1:4" x14ac:dyDescent="0.25">
      <c r="A883" t="str">
        <f>T("   482020")</f>
        <v xml:space="preserve">   482020</v>
      </c>
      <c r="B883" t="str">
        <f>T("   Cahiers pour l'écriture, en papier ou carton")</f>
        <v xml:space="preserve">   Cahiers pour l'écriture, en papier ou carton</v>
      </c>
      <c r="C883">
        <v>13651000</v>
      </c>
      <c r="D883">
        <v>48251</v>
      </c>
    </row>
    <row r="884" spans="1:4" x14ac:dyDescent="0.25">
      <c r="A884" t="str">
        <f>T("   490700")</f>
        <v xml:space="preserve">   490700</v>
      </c>
      <c r="B884" t="s">
        <v>46</v>
      </c>
      <c r="C884">
        <v>22500000</v>
      </c>
      <c r="D884">
        <v>10549</v>
      </c>
    </row>
    <row r="885" spans="1:4" x14ac:dyDescent="0.25">
      <c r="A885" t="str">
        <f>T("   491191")</f>
        <v xml:space="preserve">   491191</v>
      </c>
      <c r="B885" t="str">
        <f>T("   Images, gravures et photographies, n.d.a.")</f>
        <v xml:space="preserve">   Images, gravures et photographies, n.d.a.</v>
      </c>
      <c r="C885">
        <v>200000</v>
      </c>
      <c r="D885">
        <v>1050</v>
      </c>
    </row>
    <row r="886" spans="1:4" x14ac:dyDescent="0.25">
      <c r="A886" t="str">
        <f>T("   491199")</f>
        <v xml:space="preserve">   491199</v>
      </c>
      <c r="B886" t="str">
        <f>T("   Imprimés, n.d.a.")</f>
        <v xml:space="preserve">   Imprimés, n.d.a.</v>
      </c>
      <c r="C886">
        <v>5000000</v>
      </c>
      <c r="D886">
        <v>4000</v>
      </c>
    </row>
    <row r="887" spans="1:4" x14ac:dyDescent="0.25">
      <c r="A887" t="str">
        <f>T("   520299")</f>
        <v xml:space="preserve">   520299</v>
      </c>
      <c r="B887" t="str">
        <f>T("   Déchets de coton (à l'excl. des déchets de fils et des effilochés)")</f>
        <v xml:space="preserve">   Déchets de coton (à l'excl. des déchets de fils et des effilochés)</v>
      </c>
      <c r="C887">
        <v>1650000</v>
      </c>
      <c r="D887">
        <v>22000</v>
      </c>
    </row>
    <row r="888" spans="1:4" x14ac:dyDescent="0.25">
      <c r="A888" t="str">
        <f>T("   520812")</f>
        <v xml:space="preserve">   520812</v>
      </c>
      <c r="B888" t="str">
        <f>T("   Tissus de coton, écrus, à armure toile, contenant &gt;= 85% en poids de coton, d'un poids &gt; 100 g/m² mais &lt;= 200 g/m²")</f>
        <v xml:space="preserve">   Tissus de coton, écrus, à armure toile, contenant &gt;= 85% en poids de coton, d'un poids &gt; 100 g/m² mais &lt;= 200 g/m²</v>
      </c>
      <c r="C888">
        <v>21848400</v>
      </c>
      <c r="D888">
        <v>13071</v>
      </c>
    </row>
    <row r="889" spans="1:4" x14ac:dyDescent="0.25">
      <c r="A889" t="str">
        <f>T("   620469")</f>
        <v xml:space="preserve">   620469</v>
      </c>
      <c r="B889" t="s">
        <v>53</v>
      </c>
      <c r="C889">
        <v>5313912</v>
      </c>
      <c r="D889">
        <v>80</v>
      </c>
    </row>
    <row r="890" spans="1:4" x14ac:dyDescent="0.25">
      <c r="A890" t="str">
        <f>T("   630710")</f>
        <v xml:space="preserve">   630710</v>
      </c>
      <c r="B890" t="str">
        <f>T("   Serpillières ou wassingues, lavettes, chamoisettes et articles d'entretien simil. en tous types de matières textiles")</f>
        <v xml:space="preserve">   Serpillières ou wassingues, lavettes, chamoisettes et articles d'entretien simil. en tous types de matières textiles</v>
      </c>
      <c r="C890">
        <v>12000000</v>
      </c>
      <c r="D890">
        <v>2000</v>
      </c>
    </row>
    <row r="891" spans="1:4" x14ac:dyDescent="0.25">
      <c r="A891" t="str">
        <f>T("   640590")</f>
        <v xml:space="preserve">   640590</v>
      </c>
      <c r="B891" t="s">
        <v>58</v>
      </c>
      <c r="C891">
        <v>5547670</v>
      </c>
      <c r="D891">
        <v>77</v>
      </c>
    </row>
    <row r="892" spans="1:4" x14ac:dyDescent="0.25">
      <c r="A892" t="str">
        <f>T("   720219")</f>
        <v xml:space="preserve">   720219</v>
      </c>
      <c r="B892" t="str">
        <f>T("   Ferromanganèse, teneur en poids en carbone &lt;= 2%")</f>
        <v xml:space="preserve">   Ferromanganèse, teneur en poids en carbone &lt;= 2%</v>
      </c>
      <c r="C892">
        <v>4475391</v>
      </c>
      <c r="D892">
        <v>4500</v>
      </c>
    </row>
    <row r="893" spans="1:4" x14ac:dyDescent="0.25">
      <c r="A893" t="str">
        <f>T("   720430")</f>
        <v xml:space="preserve">   720430</v>
      </c>
      <c r="B893"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893">
        <v>250000</v>
      </c>
      <c r="D893">
        <v>2500</v>
      </c>
    </row>
    <row r="894" spans="1:4" x14ac:dyDescent="0.25">
      <c r="A894" t="str">
        <f>T("   721391")</f>
        <v xml:space="preserve">   721391</v>
      </c>
      <c r="B894"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894">
        <v>48133762</v>
      </c>
      <c r="D894">
        <v>201303</v>
      </c>
    </row>
    <row r="895" spans="1:4" x14ac:dyDescent="0.25">
      <c r="A895" t="str">
        <f>T("   730210")</f>
        <v xml:space="preserve">   730210</v>
      </c>
      <c r="B895" t="str">
        <f>T("   Rails en fonte, fer ou acier pour voies ferrées ( à l'excl. des contre-rails)")</f>
        <v xml:space="preserve">   Rails en fonte, fer ou acier pour voies ferrées ( à l'excl. des contre-rails)</v>
      </c>
      <c r="C895">
        <v>60000</v>
      </c>
      <c r="D895">
        <v>56</v>
      </c>
    </row>
    <row r="896" spans="1:4" x14ac:dyDescent="0.25">
      <c r="A896" t="str">
        <f>T("   730820")</f>
        <v xml:space="preserve">   730820</v>
      </c>
      <c r="B896" t="str">
        <f>T("   Tours et pylônes, en fer ou en acier")</f>
        <v xml:space="preserve">   Tours et pylônes, en fer ou en acier</v>
      </c>
      <c r="C896">
        <v>1890000</v>
      </c>
      <c r="D896">
        <v>6732</v>
      </c>
    </row>
    <row r="897" spans="1:4" x14ac:dyDescent="0.25">
      <c r="A897" t="str">
        <f>T("   730840")</f>
        <v xml:space="preserve">   730840</v>
      </c>
      <c r="B897"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897">
        <v>10440000</v>
      </c>
      <c r="D897">
        <v>104594</v>
      </c>
    </row>
    <row r="898" spans="1:4" x14ac:dyDescent="0.25">
      <c r="A898" t="str">
        <f>T("   731290")</f>
        <v xml:space="preserve">   731290</v>
      </c>
      <c r="B898" t="str">
        <f>T("   Tresses, élingues et simil., en fer ou en acier (sauf produits isolés pour l'électricité)")</f>
        <v xml:space="preserve">   Tresses, élingues et simil., en fer ou en acier (sauf produits isolés pour l'électricité)</v>
      </c>
      <c r="C898">
        <v>7356815</v>
      </c>
      <c r="D898">
        <v>1800</v>
      </c>
    </row>
    <row r="899" spans="1:4" x14ac:dyDescent="0.25">
      <c r="A899" t="str">
        <f>T("   732111")</f>
        <v xml:space="preserve">   732111</v>
      </c>
      <c r="B899" t="s">
        <v>70</v>
      </c>
      <c r="C899">
        <v>3918105</v>
      </c>
      <c r="D899">
        <v>1260</v>
      </c>
    </row>
    <row r="900" spans="1:4" x14ac:dyDescent="0.25">
      <c r="A900" t="str">
        <f>T("   732113")</f>
        <v xml:space="preserve">   732113</v>
      </c>
      <c r="B900" t="str">
        <f>T("   Appareils de cuisson tels que foyers de cuisson, barbecues, grilloirs, réchauds et cuisinières, et chauffe-plats, à usage domestique, en fonte, fer ou acier, à combustibles solides (à l'excl. des appareils destinés à la cuisine à grande échelle)")</f>
        <v xml:space="preserve">   Appareils de cuisson tels que foyers de cuisson, barbecues, grilloirs, réchauds et cuisinières, et chauffe-plats, à usage domestique, en fonte, fer ou acier, à combustibles solides (à l'excl. des appareils destinés à la cuisine à grande échelle)</v>
      </c>
      <c r="C900">
        <v>3830688</v>
      </c>
      <c r="D900">
        <v>789</v>
      </c>
    </row>
    <row r="901" spans="1:4" x14ac:dyDescent="0.25">
      <c r="A901" t="str">
        <f>T("   732181")</f>
        <v xml:space="preserve">   732181</v>
      </c>
      <c r="B901" t="s">
        <v>71</v>
      </c>
      <c r="C901">
        <v>183566</v>
      </c>
      <c r="D901">
        <v>47</v>
      </c>
    </row>
    <row r="902" spans="1:4" x14ac:dyDescent="0.25">
      <c r="A902" t="str">
        <f>T("   761699")</f>
        <v xml:space="preserve">   761699</v>
      </c>
      <c r="B902" t="str">
        <f>T("   Ouvrages en aluminium, n.d.a.")</f>
        <v xml:space="preserve">   Ouvrages en aluminium, n.d.a.</v>
      </c>
      <c r="C902">
        <v>100000</v>
      </c>
      <c r="D902">
        <v>543</v>
      </c>
    </row>
    <row r="903" spans="1:4" x14ac:dyDescent="0.25">
      <c r="A903" t="str">
        <f>T("   820790")</f>
        <v xml:space="preserve">   820790</v>
      </c>
      <c r="B903" t="str">
        <f>T("   Outils interchangeables pour outillage à main, mécanique ou non, ou pour machines-outils, n.d.a.")</f>
        <v xml:space="preserve">   Outils interchangeables pour outillage à main, mécanique ou non, ou pour machines-outils, n.d.a.</v>
      </c>
      <c r="C903">
        <v>4824519</v>
      </c>
      <c r="D903">
        <v>2500</v>
      </c>
    </row>
    <row r="904" spans="1:4" x14ac:dyDescent="0.25">
      <c r="A904" t="str">
        <f>T("   841381")</f>
        <v xml:space="preserve">   841381</v>
      </c>
      <c r="B904" t="s">
        <v>81</v>
      </c>
      <c r="C904">
        <v>6877696</v>
      </c>
      <c r="D904">
        <v>2100</v>
      </c>
    </row>
    <row r="905" spans="1:4" x14ac:dyDescent="0.25">
      <c r="A905" t="str">
        <f>T("   841451")</f>
        <v xml:space="preserve">   841451</v>
      </c>
      <c r="B905"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905">
        <v>635388</v>
      </c>
      <c r="D905">
        <v>174</v>
      </c>
    </row>
    <row r="906" spans="1:4" x14ac:dyDescent="0.25">
      <c r="A906" t="str">
        <f>T("   841510")</f>
        <v xml:space="preserve">   841510</v>
      </c>
      <c r="B906" t="s">
        <v>82</v>
      </c>
      <c r="C906">
        <v>3358006</v>
      </c>
      <c r="D906">
        <v>720</v>
      </c>
    </row>
    <row r="907" spans="1:4" x14ac:dyDescent="0.25">
      <c r="A907" t="str">
        <f>T("   841810")</f>
        <v xml:space="preserve">   841810</v>
      </c>
      <c r="B907" t="str">
        <f>T("   Réfrigérateurs et congélateurs-conservateurs combinés, avec portes extérieures séparées")</f>
        <v xml:space="preserve">   Réfrigérateurs et congélateurs-conservateurs combinés, avec portes extérieures séparées</v>
      </c>
      <c r="C907">
        <v>4239981</v>
      </c>
      <c r="D907">
        <v>1074</v>
      </c>
    </row>
    <row r="908" spans="1:4" x14ac:dyDescent="0.25">
      <c r="A908" t="str">
        <f>T("   841829")</f>
        <v xml:space="preserve">   841829</v>
      </c>
      <c r="B908" t="str">
        <f>T("   Réfrigérateurs ménagers à absorption, non-électriques")</f>
        <v xml:space="preserve">   Réfrigérateurs ménagers à absorption, non-électriques</v>
      </c>
      <c r="C908">
        <v>10133611</v>
      </c>
      <c r="D908">
        <v>2511</v>
      </c>
    </row>
    <row r="909" spans="1:4" x14ac:dyDescent="0.25">
      <c r="A909" t="str">
        <f>T("   841830")</f>
        <v xml:space="preserve">   841830</v>
      </c>
      <c r="B909" t="str">
        <f>T("   Meubles congélateurs-conservateurs du type coffre, capacité &lt;= 800 l")</f>
        <v xml:space="preserve">   Meubles congélateurs-conservateurs du type coffre, capacité &lt;= 800 l</v>
      </c>
      <c r="C909">
        <v>2953644</v>
      </c>
      <c r="D909">
        <v>748</v>
      </c>
    </row>
    <row r="910" spans="1:4" x14ac:dyDescent="0.25">
      <c r="A910" t="str">
        <f>T("   841850")</f>
        <v xml:space="preserve">   841850</v>
      </c>
      <c r="B910" t="s">
        <v>84</v>
      </c>
      <c r="C910">
        <v>5934084</v>
      </c>
      <c r="D910">
        <v>1441</v>
      </c>
    </row>
    <row r="911" spans="1:4" x14ac:dyDescent="0.25">
      <c r="A911" t="str">
        <f>T("   842230")</f>
        <v xml:space="preserve">   842230</v>
      </c>
      <c r="B911"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911">
        <v>10066350</v>
      </c>
      <c r="D911">
        <v>75000</v>
      </c>
    </row>
    <row r="912" spans="1:4" x14ac:dyDescent="0.25">
      <c r="A912" t="str">
        <f>T("   842620")</f>
        <v xml:space="preserve">   842620</v>
      </c>
      <c r="B912" t="str">
        <f>T("   Grues à tour")</f>
        <v xml:space="preserve">   Grues à tour</v>
      </c>
      <c r="C912">
        <v>16612500</v>
      </c>
      <c r="D912">
        <v>19500</v>
      </c>
    </row>
    <row r="913" spans="1:4" x14ac:dyDescent="0.25">
      <c r="A913" t="str">
        <f>T("   842720")</f>
        <v xml:space="preserve">   842720</v>
      </c>
      <c r="B913" t="str">
        <f>T("   Chariots de manutention autopropulsés, autres qu'à moteur électrique, avec dispositif de levage")</f>
        <v xml:space="preserve">   Chariots de manutention autopropulsés, autres qu'à moteur électrique, avec dispositif de levage</v>
      </c>
      <c r="C913">
        <v>64690120</v>
      </c>
      <c r="D913">
        <v>18030</v>
      </c>
    </row>
    <row r="914" spans="1:4" x14ac:dyDescent="0.25">
      <c r="A914" t="str">
        <f>T("   842920")</f>
        <v xml:space="preserve">   842920</v>
      </c>
      <c r="B914" t="str">
        <f>T("   Niveleuses autopropulsées")</f>
        <v xml:space="preserve">   Niveleuses autopropulsées</v>
      </c>
      <c r="C914">
        <v>71459297</v>
      </c>
      <c r="D914">
        <v>16053</v>
      </c>
    </row>
    <row r="915" spans="1:4" x14ac:dyDescent="0.25">
      <c r="A915" t="str">
        <f>T("   842940")</f>
        <v xml:space="preserve">   842940</v>
      </c>
      <c r="B915" t="str">
        <f>T("   Rouleaux compresseurs et autres compacteuses, autopropulsés")</f>
        <v xml:space="preserve">   Rouleaux compresseurs et autres compacteuses, autopropulsés</v>
      </c>
      <c r="C915">
        <v>54073539</v>
      </c>
      <c r="D915">
        <v>69147</v>
      </c>
    </row>
    <row r="916" spans="1:4" x14ac:dyDescent="0.25">
      <c r="A916" t="str">
        <f>T("   842951")</f>
        <v xml:space="preserve">   842951</v>
      </c>
      <c r="B916" t="str">
        <f>T("   Chargeuses et chargeuses-pelleteuses, à chargement frontal, autopropulsées")</f>
        <v xml:space="preserve">   Chargeuses et chargeuses-pelleteuses, à chargement frontal, autopropulsées</v>
      </c>
      <c r="C916">
        <v>77462001</v>
      </c>
      <c r="D916">
        <v>35500</v>
      </c>
    </row>
    <row r="917" spans="1:4" x14ac:dyDescent="0.25">
      <c r="A917" t="str">
        <f>T("   842959")</f>
        <v xml:space="preserve">   842959</v>
      </c>
      <c r="B917"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17">
        <v>274808722</v>
      </c>
      <c r="D917">
        <v>109800</v>
      </c>
    </row>
    <row r="918" spans="1:4" x14ac:dyDescent="0.25">
      <c r="A918" t="str">
        <f>T("   843141")</f>
        <v xml:space="preserve">   843141</v>
      </c>
      <c r="B918" t="str">
        <f>T("   Godets, bennes, bennes-preneuses, pelles, grappins et pinces pour machines et appareils du n° 8426, 8429 ou 8430")</f>
        <v xml:space="preserve">   Godets, bennes, bennes-preneuses, pelles, grappins et pinces pour machines et appareils du n° 8426, 8429 ou 8430</v>
      </c>
      <c r="C918">
        <v>30081238</v>
      </c>
      <c r="D918">
        <v>6759</v>
      </c>
    </row>
    <row r="919" spans="1:4" x14ac:dyDescent="0.25">
      <c r="A919" t="str">
        <f>T("   843143")</f>
        <v xml:space="preserve">   843143</v>
      </c>
      <c r="B919" t="str">
        <f>T("   Parties de machines de sondage ou de forage du n° 8430.41 ou 8430.49, n.d.a.")</f>
        <v xml:space="preserve">   Parties de machines de sondage ou de forage du n° 8430.41 ou 8430.49, n.d.a.</v>
      </c>
      <c r="C919">
        <v>75000</v>
      </c>
      <c r="D919">
        <v>70</v>
      </c>
    </row>
    <row r="920" spans="1:4" x14ac:dyDescent="0.25">
      <c r="A920" t="str">
        <f>T("   843149")</f>
        <v xml:space="preserve">   843149</v>
      </c>
      <c r="B920" t="str">
        <f>T("   Parties de machines et appareils du n° 8426, 8429 ou 8430, n.d.a.")</f>
        <v xml:space="preserve">   Parties de machines et appareils du n° 8426, 8429 ou 8430, n.d.a.</v>
      </c>
      <c r="C920">
        <v>2000000</v>
      </c>
      <c r="D920">
        <v>43250</v>
      </c>
    </row>
    <row r="921" spans="1:4" x14ac:dyDescent="0.25">
      <c r="A921" t="str">
        <f>T("   845011")</f>
        <v xml:space="preserve">   845011</v>
      </c>
      <c r="B921" t="str">
        <f>T("   Machines à laver le linge entièrement automatiques, d'une capacité unitaire exprimée en poids de linge sec &lt;= 6 kg")</f>
        <v xml:space="preserve">   Machines à laver le linge entièrement automatiques, d'une capacité unitaire exprimée en poids de linge sec &lt;= 6 kg</v>
      </c>
      <c r="C921">
        <v>3479379</v>
      </c>
      <c r="D921">
        <v>774</v>
      </c>
    </row>
    <row r="922" spans="1:4" x14ac:dyDescent="0.25">
      <c r="A922" t="str">
        <f>T("   845019")</f>
        <v xml:space="preserve">   845019</v>
      </c>
      <c r="B922"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922">
        <v>1200000</v>
      </c>
      <c r="D922">
        <v>304</v>
      </c>
    </row>
    <row r="923" spans="1:4" x14ac:dyDescent="0.25">
      <c r="A923" t="str">
        <f>T("   845121")</f>
        <v xml:space="preserve">   845121</v>
      </c>
      <c r="B923" t="str">
        <f>T("   Machines à sécher, capacité unitaire en poids de linge sec &lt;= 10 kg (à l'excl. des essoreuses centrifuges)")</f>
        <v xml:space="preserve">   Machines à sécher, capacité unitaire en poids de linge sec &lt;= 10 kg (à l'excl. des essoreuses centrifuges)</v>
      </c>
      <c r="C923">
        <v>226392</v>
      </c>
      <c r="D923">
        <v>75</v>
      </c>
    </row>
    <row r="924" spans="1:4" x14ac:dyDescent="0.25">
      <c r="A924" t="str">
        <f>T("   846239")</f>
        <v xml:space="preserve">   846239</v>
      </c>
      <c r="B924" t="str">
        <f>T("   Machines, y.c. -les presses-, à cisailler, pour le travail des métaux (autres que les machines combinées à poinçonner et à cisailler et autres qu'à commande numérique)")</f>
        <v xml:space="preserve">   Machines, y.c. -les presses-, à cisailler, pour le travail des métaux (autres que les machines combinées à poinçonner et à cisailler et autres qu'à commande numérique)</v>
      </c>
      <c r="C924">
        <v>12100000</v>
      </c>
      <c r="D924">
        <v>1350</v>
      </c>
    </row>
    <row r="925" spans="1:4" x14ac:dyDescent="0.25">
      <c r="A925" t="str">
        <f>T("   846594")</f>
        <v xml:space="preserve">   846594</v>
      </c>
      <c r="B925" t="str">
        <f>T("   Machines à cintrer ou à assembler, pour le travail du bois, des matières plastiques dures, etc. (autres que machines pour emploi à la main)")</f>
        <v xml:space="preserve">   Machines à cintrer ou à assembler, pour le travail du bois, des matières plastiques dures, etc. (autres que machines pour emploi à la main)</v>
      </c>
      <c r="C925">
        <v>14348000</v>
      </c>
      <c r="D925">
        <v>1315</v>
      </c>
    </row>
    <row r="926" spans="1:4" x14ac:dyDescent="0.25">
      <c r="A926" t="str">
        <f>T("   846729")</f>
        <v xml:space="preserve">   846729</v>
      </c>
      <c r="B926" t="str">
        <f>T("   Outils électromécaniques à moteur électrique incorporé, pour emploi à la main (autres que scies et perceuses)")</f>
        <v xml:space="preserve">   Outils électromécaniques à moteur électrique incorporé, pour emploi à la main (autres que scies et perceuses)</v>
      </c>
      <c r="C926">
        <v>3628246</v>
      </c>
      <c r="D926">
        <v>950</v>
      </c>
    </row>
    <row r="927" spans="1:4" x14ac:dyDescent="0.25">
      <c r="A927" t="str">
        <f>T("   847190")</f>
        <v xml:space="preserve">   847190</v>
      </c>
      <c r="B92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27">
        <v>805000</v>
      </c>
      <c r="D927">
        <v>4340</v>
      </c>
    </row>
    <row r="928" spans="1:4" x14ac:dyDescent="0.25">
      <c r="A928" t="str">
        <f>T("   847431")</f>
        <v xml:space="preserve">   847431</v>
      </c>
      <c r="B928"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928">
        <v>22672267</v>
      </c>
      <c r="D928">
        <v>9199</v>
      </c>
    </row>
    <row r="929" spans="1:4" x14ac:dyDescent="0.25">
      <c r="A929" t="str">
        <f>T("   847910")</f>
        <v xml:space="preserve">   847910</v>
      </c>
      <c r="B929" t="str">
        <f>T("   Machines et appareils pour les travaux publics, le bâtiment ou les travaux analogues, n.d.a.")</f>
        <v xml:space="preserve">   Machines et appareils pour les travaux publics, le bâtiment ou les travaux analogues, n.d.a.</v>
      </c>
      <c r="C929">
        <v>3993750</v>
      </c>
      <c r="D929">
        <v>360</v>
      </c>
    </row>
    <row r="930" spans="1:4" x14ac:dyDescent="0.25">
      <c r="A930" t="str">
        <f>T("   851580")</f>
        <v xml:space="preserve">   851580</v>
      </c>
      <c r="B930" t="s">
        <v>89</v>
      </c>
      <c r="C930">
        <v>760000</v>
      </c>
      <c r="D930">
        <v>74</v>
      </c>
    </row>
    <row r="931" spans="1:4" x14ac:dyDescent="0.25">
      <c r="A931" t="str">
        <f>T("   851610")</f>
        <v xml:space="preserve">   851610</v>
      </c>
      <c r="B931" t="str">
        <f>T("   Chauffe-eau et thermoplongeurs électriques")</f>
        <v xml:space="preserve">   Chauffe-eau et thermoplongeurs électriques</v>
      </c>
      <c r="C931">
        <v>187784</v>
      </c>
      <c r="D931">
        <v>62</v>
      </c>
    </row>
    <row r="932" spans="1:4" x14ac:dyDescent="0.25">
      <c r="A932" t="str">
        <f>T("   851650")</f>
        <v xml:space="preserve">   851650</v>
      </c>
      <c r="B932" t="str">
        <f>T("   Fours à micro-ondes")</f>
        <v xml:space="preserve">   Fours à micro-ondes</v>
      </c>
      <c r="C932">
        <v>826932</v>
      </c>
      <c r="D932">
        <v>189</v>
      </c>
    </row>
    <row r="933" spans="1:4" x14ac:dyDescent="0.25">
      <c r="A933" t="str">
        <f>T("   851660")</f>
        <v xml:space="preserve">   851660</v>
      </c>
      <c r="B933"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933">
        <v>1659270</v>
      </c>
      <c r="D933">
        <v>391</v>
      </c>
    </row>
    <row r="934" spans="1:4" x14ac:dyDescent="0.25">
      <c r="A934" t="str">
        <f>T("   852812")</f>
        <v xml:space="preserve">   852812</v>
      </c>
      <c r="B93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34">
        <v>1517982</v>
      </c>
      <c r="D934">
        <v>356</v>
      </c>
    </row>
    <row r="935" spans="1:4" x14ac:dyDescent="0.25">
      <c r="A935" t="str">
        <f>T("   853890")</f>
        <v xml:space="preserve">   853890</v>
      </c>
      <c r="B935" t="s">
        <v>93</v>
      </c>
      <c r="C935">
        <v>500000</v>
      </c>
      <c r="D935">
        <v>2800</v>
      </c>
    </row>
    <row r="936" spans="1:4" x14ac:dyDescent="0.25">
      <c r="A936" t="str">
        <f>T("   860900")</f>
        <v xml:space="preserve">   860900</v>
      </c>
      <c r="B936"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936">
        <v>750000</v>
      </c>
      <c r="D936">
        <v>9950</v>
      </c>
    </row>
    <row r="937" spans="1:4" x14ac:dyDescent="0.25">
      <c r="A937" t="str">
        <f>T("   870120")</f>
        <v xml:space="preserve">   870120</v>
      </c>
      <c r="B937" t="str">
        <f>T("   Tracteurs routiers pour semi-remorques")</f>
        <v xml:space="preserve">   Tracteurs routiers pour semi-remorques</v>
      </c>
      <c r="C937">
        <v>3800000</v>
      </c>
      <c r="D937">
        <v>13000</v>
      </c>
    </row>
    <row r="938" spans="1:4" x14ac:dyDescent="0.25">
      <c r="A938" t="str">
        <f>T("   870322")</f>
        <v xml:space="preserve">   870322</v>
      </c>
      <c r="B938" t="s">
        <v>95</v>
      </c>
      <c r="C938">
        <v>2584482</v>
      </c>
      <c r="D938">
        <v>1285</v>
      </c>
    </row>
    <row r="939" spans="1:4" x14ac:dyDescent="0.25">
      <c r="A939" t="str">
        <f>T("   870323")</f>
        <v xml:space="preserve">   870323</v>
      </c>
      <c r="B939" t="s">
        <v>96</v>
      </c>
      <c r="C939">
        <v>28365679</v>
      </c>
      <c r="D939">
        <v>5204</v>
      </c>
    </row>
    <row r="940" spans="1:4" x14ac:dyDescent="0.25">
      <c r="A940" t="str">
        <f>T("   870333")</f>
        <v xml:space="preserve">   870333</v>
      </c>
      <c r="B940" t="s">
        <v>99</v>
      </c>
      <c r="C940">
        <v>18143854</v>
      </c>
      <c r="D940">
        <v>3580</v>
      </c>
    </row>
    <row r="941" spans="1:4" x14ac:dyDescent="0.25">
      <c r="A941" t="str">
        <f>T("   870421")</f>
        <v xml:space="preserve">   870421</v>
      </c>
      <c r="B941" t="s">
        <v>100</v>
      </c>
      <c r="C941">
        <v>9588823</v>
      </c>
      <c r="D941">
        <v>1780</v>
      </c>
    </row>
    <row r="942" spans="1:4" x14ac:dyDescent="0.25">
      <c r="A942" t="str">
        <f>T("   870422")</f>
        <v xml:space="preserve">   870422</v>
      </c>
      <c r="B942" t="s">
        <v>101</v>
      </c>
      <c r="C942">
        <v>311518458</v>
      </c>
      <c r="D942">
        <v>130940</v>
      </c>
    </row>
    <row r="943" spans="1:4" x14ac:dyDescent="0.25">
      <c r="A943" t="str">
        <f>T("   870590")</f>
        <v xml:space="preserve">   870590</v>
      </c>
      <c r="B943" t="s">
        <v>104</v>
      </c>
      <c r="C943">
        <v>19838340</v>
      </c>
      <c r="D943">
        <v>21894</v>
      </c>
    </row>
    <row r="944" spans="1:4" x14ac:dyDescent="0.25">
      <c r="A944" t="str">
        <f>T("   870899")</f>
        <v xml:space="preserve">   870899</v>
      </c>
      <c r="B94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944">
        <v>3500000</v>
      </c>
      <c r="D944">
        <v>1500</v>
      </c>
    </row>
    <row r="945" spans="1:4" x14ac:dyDescent="0.25">
      <c r="A945" t="str">
        <f>T("   871200")</f>
        <v xml:space="preserve">   871200</v>
      </c>
      <c r="B945" t="str">
        <f>T("   BICYCLETTES ET AUTRES CYCLES, -Y.C. LES TRIPORTEURS-, SANS MOTEUR")</f>
        <v xml:space="preserve">   BICYCLETTES ET AUTRES CYCLES, -Y.C. LES TRIPORTEURS-, SANS MOTEUR</v>
      </c>
      <c r="C945">
        <v>471323</v>
      </c>
      <c r="D945">
        <v>110</v>
      </c>
    </row>
    <row r="946" spans="1:4" x14ac:dyDescent="0.25">
      <c r="A946" t="str">
        <f>T("   871640")</f>
        <v xml:space="preserve">   871640</v>
      </c>
      <c r="B946"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46">
        <v>19592213</v>
      </c>
      <c r="D946">
        <v>8300</v>
      </c>
    </row>
    <row r="947" spans="1:4" x14ac:dyDescent="0.25">
      <c r="A947" t="str">
        <f>T("   902480")</f>
        <v xml:space="preserve">   902480</v>
      </c>
      <c r="B947" t="str">
        <f>T("   Machines et appareils d'essais des propriétés mécaniques des matériaux (autres que les métaux)")</f>
        <v xml:space="preserve">   Machines et appareils d'essais des propriétés mécaniques des matériaux (autres que les métaux)</v>
      </c>
      <c r="C947">
        <v>13138896</v>
      </c>
      <c r="D947">
        <v>1800</v>
      </c>
    </row>
    <row r="948" spans="1:4" x14ac:dyDescent="0.25">
      <c r="A948" t="str">
        <f>T("   940360")</f>
        <v xml:space="preserve">   940360</v>
      </c>
      <c r="B948" t="str">
        <f>T("   Meubles en bois (autres que pour bureaux, cuisines ou chambres à coucher et autres que sièges)")</f>
        <v xml:space="preserve">   Meubles en bois (autres que pour bureaux, cuisines ou chambres à coucher et autres que sièges)</v>
      </c>
      <c r="C948">
        <v>1315000</v>
      </c>
      <c r="D948">
        <v>900</v>
      </c>
    </row>
    <row r="949" spans="1:4" x14ac:dyDescent="0.25">
      <c r="A949" t="str">
        <f>T("   940380")</f>
        <v xml:space="preserve">   940380</v>
      </c>
      <c r="B949" t="str">
        <f>T("   Meubles en rotin, osier, bambou ou autres matières (sauf métal, bois et matières plastiques)")</f>
        <v xml:space="preserve">   Meubles en rotin, osier, bambou ou autres matières (sauf métal, bois et matières plastiques)</v>
      </c>
      <c r="C949">
        <v>9506226</v>
      </c>
      <c r="D949">
        <v>1094</v>
      </c>
    </row>
    <row r="950" spans="1:4" x14ac:dyDescent="0.25">
      <c r="A950" t="str">
        <f>T("   940600")</f>
        <v xml:space="preserve">   940600</v>
      </c>
      <c r="B950" t="str">
        <f>T("   Constructions préfabriquées, même incomplètes ou non encore montées")</f>
        <v xml:space="preserve">   Constructions préfabriquées, même incomplètes ou non encore montées</v>
      </c>
      <c r="C950">
        <v>372500</v>
      </c>
      <c r="D950">
        <v>600</v>
      </c>
    </row>
    <row r="951" spans="1:4" x14ac:dyDescent="0.25">
      <c r="A951" t="str">
        <f>T("TH")</f>
        <v>TH</v>
      </c>
      <c r="B951" t="str">
        <f>T("Thaïlande")</f>
        <v>Thaïlande</v>
      </c>
    </row>
    <row r="952" spans="1:4" x14ac:dyDescent="0.25">
      <c r="A952" t="str">
        <f>T("   ZZ_Total_Produit_SH6")</f>
        <v xml:space="preserve">   ZZ_Total_Produit_SH6</v>
      </c>
      <c r="B952" t="str">
        <f>T("   ZZ_Total_Produit_SH6")</f>
        <v xml:space="preserve">   ZZ_Total_Produit_SH6</v>
      </c>
      <c r="C952">
        <v>2137973024</v>
      </c>
      <c r="D952">
        <v>2844134</v>
      </c>
    </row>
    <row r="953" spans="1:4" x14ac:dyDescent="0.25">
      <c r="A953" t="str">
        <f>T("   080131")</f>
        <v xml:space="preserve">   080131</v>
      </c>
      <c r="B953" t="str">
        <f>T("   Noix de cajou, fraîches ou sèches, en coques")</f>
        <v xml:space="preserve">   Noix de cajou, fraîches ou sèches, en coques</v>
      </c>
      <c r="C953">
        <v>3600000</v>
      </c>
      <c r="D953">
        <v>27580</v>
      </c>
    </row>
    <row r="954" spans="1:4" x14ac:dyDescent="0.25">
      <c r="A954" t="str">
        <f>T("   120710")</f>
        <v xml:space="preserve">   120710</v>
      </c>
      <c r="B954" t="str">
        <f>T("   NOIX ET AMANDES DE PALMISTES")</f>
        <v xml:space="preserve">   NOIX ET AMANDES DE PALMISTES</v>
      </c>
      <c r="C954">
        <v>169238951</v>
      </c>
      <c r="D954">
        <v>73255</v>
      </c>
    </row>
    <row r="955" spans="1:4" x14ac:dyDescent="0.25">
      <c r="A955" t="str">
        <f>T("   392321")</f>
        <v xml:space="preserve">   392321</v>
      </c>
      <c r="B955" t="str">
        <f>T("   Sacs, sachets, pochettes et cornets, en polymères de l'éthylène")</f>
        <v xml:space="preserve">   Sacs, sachets, pochettes et cornets, en polymères de l'éthylène</v>
      </c>
      <c r="C955">
        <v>3985030</v>
      </c>
      <c r="D955">
        <v>3078</v>
      </c>
    </row>
    <row r="956" spans="1:4" x14ac:dyDescent="0.25">
      <c r="A956" t="str">
        <f>T("   490199")</f>
        <v xml:space="preserve">   490199</v>
      </c>
      <c r="B95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56">
        <v>2423304</v>
      </c>
      <c r="D956">
        <v>1297</v>
      </c>
    </row>
    <row r="957" spans="1:4" x14ac:dyDescent="0.25">
      <c r="A957" t="str">
        <f>T("   520100")</f>
        <v xml:space="preserve">   520100</v>
      </c>
      <c r="B957" t="str">
        <f>T("   COTON, NON-CARDÉ NI PEIGNÉ")</f>
        <v xml:space="preserve">   COTON, NON-CARDÉ NI PEIGNÉ</v>
      </c>
      <c r="C957">
        <v>1949979132</v>
      </c>
      <c r="D957">
        <v>2668243</v>
      </c>
    </row>
    <row r="958" spans="1:4" x14ac:dyDescent="0.25">
      <c r="A958" t="str">
        <f>T("   720429")</f>
        <v xml:space="preserve">   720429</v>
      </c>
      <c r="B958"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958">
        <v>3000000</v>
      </c>
      <c r="D958">
        <v>60000</v>
      </c>
    </row>
    <row r="959" spans="1:4" x14ac:dyDescent="0.25">
      <c r="A959" t="str">
        <f>T("   721790")</f>
        <v xml:space="preserve">   721790</v>
      </c>
      <c r="B959"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959">
        <v>3529205</v>
      </c>
      <c r="D959">
        <v>7643</v>
      </c>
    </row>
    <row r="960" spans="1:4" x14ac:dyDescent="0.25">
      <c r="A960" t="str">
        <f>T("   732620")</f>
        <v xml:space="preserve">   732620</v>
      </c>
      <c r="B960" t="str">
        <f>T("   Ouvrages en fil de fer ou d'acier, n.d.a.")</f>
        <v xml:space="preserve">   Ouvrages en fil de fer ou d'acier, n.d.a.</v>
      </c>
      <c r="C960">
        <v>1429055</v>
      </c>
      <c r="D960">
        <v>1783</v>
      </c>
    </row>
    <row r="961" spans="1:4" x14ac:dyDescent="0.25">
      <c r="A961" t="str">
        <f>T("   732690")</f>
        <v xml:space="preserve">   732690</v>
      </c>
      <c r="B961"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61">
        <v>788347</v>
      </c>
      <c r="D961">
        <v>1255</v>
      </c>
    </row>
    <row r="962" spans="1:4" x14ac:dyDescent="0.25">
      <c r="A962" t="str">
        <f>T("TN")</f>
        <v>TN</v>
      </c>
      <c r="B962" t="str">
        <f>T("Tunisie")</f>
        <v>Tunisie</v>
      </c>
    </row>
    <row r="963" spans="1:4" x14ac:dyDescent="0.25">
      <c r="A963" t="str">
        <f>T("   ZZ_Total_Produit_SH6")</f>
        <v xml:space="preserve">   ZZ_Total_Produit_SH6</v>
      </c>
      <c r="B963" t="str">
        <f>T("   ZZ_Total_Produit_SH6")</f>
        <v xml:space="preserve">   ZZ_Total_Produit_SH6</v>
      </c>
      <c r="C963">
        <v>88024470</v>
      </c>
      <c r="D963">
        <v>102897</v>
      </c>
    </row>
    <row r="964" spans="1:4" x14ac:dyDescent="0.25">
      <c r="A964" t="str">
        <f>T("   520100")</f>
        <v xml:space="preserve">   520100</v>
      </c>
      <c r="B964" t="str">
        <f>T("   COTON, NON-CARDÉ NI PEIGNÉ")</f>
        <v xml:space="preserve">   COTON, NON-CARDÉ NI PEIGNÉ</v>
      </c>
      <c r="C964">
        <v>74192972</v>
      </c>
      <c r="D964">
        <v>99587</v>
      </c>
    </row>
    <row r="965" spans="1:4" x14ac:dyDescent="0.25">
      <c r="A965" t="str">
        <f>T("   721730")</f>
        <v xml:space="preserve">   721730</v>
      </c>
      <c r="B965"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965">
        <v>373898</v>
      </c>
      <c r="D965">
        <v>810</v>
      </c>
    </row>
    <row r="966" spans="1:4" x14ac:dyDescent="0.25">
      <c r="A966" t="str">
        <f>T("   870324")</f>
        <v xml:space="preserve">   870324</v>
      </c>
      <c r="B966" t="s">
        <v>97</v>
      </c>
      <c r="C966">
        <v>12857600</v>
      </c>
      <c r="D966">
        <v>1990</v>
      </c>
    </row>
    <row r="967" spans="1:4" x14ac:dyDescent="0.25">
      <c r="A967" t="str">
        <f>T("   940360")</f>
        <v xml:space="preserve">   940360</v>
      </c>
      <c r="B967" t="str">
        <f>T("   Meubles en bois (autres que pour bureaux, cuisines ou chambres à coucher et autres que sièges)")</f>
        <v xml:space="preserve">   Meubles en bois (autres que pour bureaux, cuisines ou chambres à coucher et autres que sièges)</v>
      </c>
      <c r="C967">
        <v>600000</v>
      </c>
      <c r="D967">
        <v>510</v>
      </c>
    </row>
    <row r="968" spans="1:4" x14ac:dyDescent="0.25">
      <c r="A968" t="str">
        <f>T("TR")</f>
        <v>TR</v>
      </c>
      <c r="B968" t="str">
        <f>T("Turquie")</f>
        <v>Turquie</v>
      </c>
    </row>
    <row r="969" spans="1:4" x14ac:dyDescent="0.25">
      <c r="A969" t="str">
        <f>T("   ZZ_Total_Produit_SH6")</f>
        <v xml:space="preserve">   ZZ_Total_Produit_SH6</v>
      </c>
      <c r="B969" t="str">
        <f>T("   ZZ_Total_Produit_SH6")</f>
        <v xml:space="preserve">   ZZ_Total_Produit_SH6</v>
      </c>
      <c r="C969">
        <v>1076836693</v>
      </c>
      <c r="D969">
        <v>2711784</v>
      </c>
    </row>
    <row r="970" spans="1:4" x14ac:dyDescent="0.25">
      <c r="A970" t="str">
        <f>T("   120740")</f>
        <v xml:space="preserve">   120740</v>
      </c>
      <c r="B970" t="str">
        <f>T("   Graines de sésame, même concassées")</f>
        <v xml:space="preserve">   Graines de sésame, même concassées</v>
      </c>
      <c r="C970">
        <v>9481000</v>
      </c>
      <c r="D970">
        <v>94810</v>
      </c>
    </row>
    <row r="971" spans="1:4" x14ac:dyDescent="0.25">
      <c r="A971" t="str">
        <f>T("   230400")</f>
        <v xml:space="preserve">   230400</v>
      </c>
      <c r="B971"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971">
        <v>221507623</v>
      </c>
      <c r="D971">
        <v>1408842</v>
      </c>
    </row>
    <row r="972" spans="1:4" x14ac:dyDescent="0.25">
      <c r="A972" t="str">
        <f>T("   392321")</f>
        <v xml:space="preserve">   392321</v>
      </c>
      <c r="B972" t="str">
        <f>T("   Sacs, sachets, pochettes et cornets, en polymères de l'éthylène")</f>
        <v xml:space="preserve">   Sacs, sachets, pochettes et cornets, en polymères de l'éthylène</v>
      </c>
      <c r="C972">
        <v>2163555</v>
      </c>
      <c r="D972">
        <v>1454</v>
      </c>
    </row>
    <row r="973" spans="1:4" x14ac:dyDescent="0.25">
      <c r="A973" t="str">
        <f>T("   520100")</f>
        <v xml:space="preserve">   520100</v>
      </c>
      <c r="B973" t="str">
        <f>T("   COTON, NON-CARDÉ NI PEIGNÉ")</f>
        <v xml:space="preserve">   COTON, NON-CARDÉ NI PEIGNÉ</v>
      </c>
      <c r="C973">
        <v>791425377</v>
      </c>
      <c r="D973">
        <v>1042714</v>
      </c>
    </row>
    <row r="974" spans="1:4" x14ac:dyDescent="0.25">
      <c r="A974" t="str">
        <f>T("   520299")</f>
        <v xml:space="preserve">   520299</v>
      </c>
      <c r="B974" t="str">
        <f>T("   Déchets de coton (à l'excl. des déchets de fils et des effilochés)")</f>
        <v xml:space="preserve">   Déchets de coton (à l'excl. des déchets de fils et des effilochés)</v>
      </c>
      <c r="C974">
        <v>48780321</v>
      </c>
      <c r="D974">
        <v>157294</v>
      </c>
    </row>
    <row r="975" spans="1:4" x14ac:dyDescent="0.25">
      <c r="A975" t="str">
        <f>T("   721790")</f>
        <v xml:space="preserve">   721790</v>
      </c>
      <c r="B975"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975">
        <v>1869232</v>
      </c>
      <c r="D975">
        <v>4048</v>
      </c>
    </row>
    <row r="976" spans="1:4" x14ac:dyDescent="0.25">
      <c r="A976" t="str">
        <f>T("   732620")</f>
        <v xml:space="preserve">   732620</v>
      </c>
      <c r="B976" t="str">
        <f>T("   Ouvrages en fil de fer ou d'acier, n.d.a.")</f>
        <v xml:space="preserve">   Ouvrages en fil de fer ou d'acier, n.d.a.</v>
      </c>
      <c r="C976">
        <v>823044</v>
      </c>
      <c r="D976">
        <v>1370</v>
      </c>
    </row>
    <row r="977" spans="1:4" x14ac:dyDescent="0.25">
      <c r="A977" t="str">
        <f>T("   732690")</f>
        <v xml:space="preserve">   732690</v>
      </c>
      <c r="B97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77">
        <v>786541</v>
      </c>
      <c r="D977">
        <v>1252</v>
      </c>
    </row>
    <row r="978" spans="1:4" x14ac:dyDescent="0.25">
      <c r="A978" t="str">
        <f>T("TW")</f>
        <v>TW</v>
      </c>
      <c r="B978" t="str">
        <f>T("Taïwan, Province de Chine")</f>
        <v>Taïwan, Province de Chine</v>
      </c>
    </row>
    <row r="979" spans="1:4" x14ac:dyDescent="0.25">
      <c r="A979" t="str">
        <f>T("   ZZ_Total_Produit_SH6")</f>
        <v xml:space="preserve">   ZZ_Total_Produit_SH6</v>
      </c>
      <c r="B979" t="str">
        <f>T("   ZZ_Total_Produit_SH6")</f>
        <v xml:space="preserve">   ZZ_Total_Produit_SH6</v>
      </c>
      <c r="C979">
        <v>1091092860</v>
      </c>
      <c r="D979">
        <v>1549272</v>
      </c>
    </row>
    <row r="980" spans="1:4" x14ac:dyDescent="0.25">
      <c r="A980" t="str">
        <f>T("   392321")</f>
        <v xml:space="preserve">   392321</v>
      </c>
      <c r="B980" t="str">
        <f>T("   Sacs, sachets, pochettes et cornets, en polymères de l'éthylène")</f>
        <v xml:space="preserve">   Sacs, sachets, pochettes et cornets, en polymères de l'éthylène</v>
      </c>
      <c r="C980">
        <v>1041266</v>
      </c>
      <c r="D980">
        <v>855</v>
      </c>
    </row>
    <row r="981" spans="1:4" x14ac:dyDescent="0.25">
      <c r="A981" t="str">
        <f>T("   520100")</f>
        <v xml:space="preserve">   520100</v>
      </c>
      <c r="B981" t="str">
        <f>T("   COTON, NON-CARDÉ NI PEIGNÉ")</f>
        <v xml:space="preserve">   COTON, NON-CARDÉ NI PEIGNÉ</v>
      </c>
      <c r="C981">
        <v>1087845762</v>
      </c>
      <c r="D981">
        <v>1530488</v>
      </c>
    </row>
    <row r="982" spans="1:4" x14ac:dyDescent="0.25">
      <c r="A982" t="str">
        <f>T("   720430")</f>
        <v xml:space="preserve">   720430</v>
      </c>
      <c r="B982"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982">
        <v>750000</v>
      </c>
      <c r="D982">
        <v>15000</v>
      </c>
    </row>
    <row r="983" spans="1:4" x14ac:dyDescent="0.25">
      <c r="A983" t="str">
        <f>T("   721790")</f>
        <v xml:space="preserve">   721790</v>
      </c>
      <c r="B983"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983">
        <v>1230599</v>
      </c>
      <c r="D983">
        <v>2665</v>
      </c>
    </row>
    <row r="984" spans="1:4" x14ac:dyDescent="0.25">
      <c r="A984" t="str">
        <f>T("   732620")</f>
        <v xml:space="preserve">   732620</v>
      </c>
      <c r="B984" t="str">
        <f>T("   Ouvrages en fil de fer ou d'acier, n.d.a.")</f>
        <v xml:space="preserve">   Ouvrages en fil de fer ou d'acier, n.d.a.</v>
      </c>
      <c r="C984">
        <v>225233</v>
      </c>
      <c r="D984">
        <v>264</v>
      </c>
    </row>
    <row r="985" spans="1:4" x14ac:dyDescent="0.25">
      <c r="A985" t="str">
        <f>T("TZ")</f>
        <v>TZ</v>
      </c>
      <c r="B985" t="str">
        <f>T("Tanzanie")</f>
        <v>Tanzanie</v>
      </c>
    </row>
    <row r="986" spans="1:4" x14ac:dyDescent="0.25">
      <c r="A986" t="str">
        <f>T("   ZZ_Total_Produit_SH6")</f>
        <v xml:space="preserve">   ZZ_Total_Produit_SH6</v>
      </c>
      <c r="B986" t="str">
        <f>T("   ZZ_Total_Produit_SH6")</f>
        <v xml:space="preserve">   ZZ_Total_Produit_SH6</v>
      </c>
      <c r="C986">
        <v>60598061</v>
      </c>
      <c r="D986">
        <v>45616</v>
      </c>
    </row>
    <row r="987" spans="1:4" x14ac:dyDescent="0.25">
      <c r="A987" t="str">
        <f>T("   520852")</f>
        <v xml:space="preserve">   520852</v>
      </c>
      <c r="B987" t="str">
        <f>T("   Tissus de coton, imprimés, à armure toile, contenant &gt;= 85% en poids de coton, d'un poids &gt; 100 g/m² mais &lt;= 200 g/m²")</f>
        <v xml:space="preserve">   Tissus de coton, imprimés, à armure toile, contenant &gt;= 85% en poids de coton, d'un poids &gt; 100 g/m² mais &lt;= 200 g/m²</v>
      </c>
      <c r="C987">
        <v>17000515</v>
      </c>
      <c r="D987">
        <v>20181</v>
      </c>
    </row>
    <row r="988" spans="1:4" x14ac:dyDescent="0.25">
      <c r="A988" t="str">
        <f>T("   620329")</f>
        <v xml:space="preserve">   620329</v>
      </c>
      <c r="B988"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988">
        <v>15093640</v>
      </c>
      <c r="D988">
        <v>1535</v>
      </c>
    </row>
    <row r="989" spans="1:4" x14ac:dyDescent="0.25">
      <c r="A989" t="str">
        <f>T("   620590")</f>
        <v xml:space="preserve">   620590</v>
      </c>
      <c r="B98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89">
        <v>500000</v>
      </c>
      <c r="D989">
        <v>900</v>
      </c>
    </row>
    <row r="990" spans="1:4" x14ac:dyDescent="0.25">
      <c r="A990" t="str">
        <f>T("   732394")</f>
        <v xml:space="preserve">   732394</v>
      </c>
      <c r="B990" t="s">
        <v>73</v>
      </c>
      <c r="C990">
        <v>300000</v>
      </c>
      <c r="D990">
        <v>300</v>
      </c>
    </row>
    <row r="991" spans="1:4" x14ac:dyDescent="0.25">
      <c r="A991" t="str">
        <f>T("   847982")</f>
        <v xml:space="preserve">   847982</v>
      </c>
      <c r="B991"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991">
        <v>27003906</v>
      </c>
      <c r="D991">
        <v>22000</v>
      </c>
    </row>
    <row r="992" spans="1:4" x14ac:dyDescent="0.25">
      <c r="A992" t="str">
        <f>T("   940350")</f>
        <v xml:space="preserve">   940350</v>
      </c>
      <c r="B992" t="str">
        <f>T("   Meubles pour chambres à coucher, en bois (sauf sièges)")</f>
        <v xml:space="preserve">   Meubles pour chambres à coucher, en bois (sauf sièges)</v>
      </c>
      <c r="C992">
        <v>700000</v>
      </c>
      <c r="D992">
        <v>700</v>
      </c>
    </row>
    <row r="993" spans="1:4" x14ac:dyDescent="0.25">
      <c r="A993" t="str">
        <f>T("UG")</f>
        <v>UG</v>
      </c>
      <c r="B993" t="str">
        <f>T("Ouganda")</f>
        <v>Ouganda</v>
      </c>
    </row>
    <row r="994" spans="1:4" x14ac:dyDescent="0.25">
      <c r="A994" t="str">
        <f>T("   ZZ_Total_Produit_SH6")</f>
        <v xml:space="preserve">   ZZ_Total_Produit_SH6</v>
      </c>
      <c r="B994" t="str">
        <f>T("   ZZ_Total_Produit_SH6")</f>
        <v xml:space="preserve">   ZZ_Total_Produit_SH6</v>
      </c>
      <c r="C994">
        <v>27812484</v>
      </c>
      <c r="D994">
        <v>13935</v>
      </c>
    </row>
    <row r="995" spans="1:4" x14ac:dyDescent="0.25">
      <c r="A995" t="str">
        <f>T("   732393")</f>
        <v xml:space="preserve">   732393</v>
      </c>
      <c r="B995" t="s">
        <v>72</v>
      </c>
      <c r="C995">
        <v>2000000</v>
      </c>
      <c r="D995">
        <v>3125</v>
      </c>
    </row>
    <row r="996" spans="1:4" x14ac:dyDescent="0.25">
      <c r="A996" t="str">
        <f>T("   870323")</f>
        <v xml:space="preserve">   870323</v>
      </c>
      <c r="B996" t="s">
        <v>96</v>
      </c>
      <c r="C996">
        <v>10692148</v>
      </c>
      <c r="D996">
        <v>2074</v>
      </c>
    </row>
    <row r="997" spans="1:4" x14ac:dyDescent="0.25">
      <c r="A997" t="str">
        <f>T("   871120")</f>
        <v xml:space="preserve">   871120</v>
      </c>
      <c r="B997" t="str">
        <f>T("   Motocycles à moteur à piston alternatif, cylindrée &gt; 50 cm³ mais &lt;= 250 cm³")</f>
        <v xml:space="preserve">   Motocycles à moteur à piston alternatif, cylindrée &gt; 50 cm³ mais &lt;= 250 cm³</v>
      </c>
      <c r="C997">
        <v>15120336</v>
      </c>
      <c r="D997">
        <v>8736</v>
      </c>
    </row>
    <row r="998" spans="1:4" x14ac:dyDescent="0.25">
      <c r="A998" t="str">
        <f>T("US")</f>
        <v>US</v>
      </c>
      <c r="B998" t="str">
        <f>T("Etats-Unis")</f>
        <v>Etats-Unis</v>
      </c>
    </row>
    <row r="999" spans="1:4" x14ac:dyDescent="0.25">
      <c r="A999" t="str">
        <f>T("   ZZ_Total_Produit_SH6")</f>
        <v xml:space="preserve">   ZZ_Total_Produit_SH6</v>
      </c>
      <c r="B999" t="str">
        <f>T("   ZZ_Total_Produit_SH6")</f>
        <v xml:space="preserve">   ZZ_Total_Produit_SH6</v>
      </c>
      <c r="C999">
        <v>52228709</v>
      </c>
      <c r="D999">
        <v>61975</v>
      </c>
    </row>
    <row r="1000" spans="1:4" x14ac:dyDescent="0.25">
      <c r="A1000" t="str">
        <f>T("   071490")</f>
        <v xml:space="preserve">   071490</v>
      </c>
      <c r="B1000" t="s">
        <v>14</v>
      </c>
      <c r="C1000">
        <v>1190000</v>
      </c>
      <c r="D1000">
        <v>17000</v>
      </c>
    </row>
    <row r="1001" spans="1:4" x14ac:dyDescent="0.25">
      <c r="A1001" t="str">
        <f>T("   151590")</f>
        <v xml:space="preserve">   151590</v>
      </c>
      <c r="B1001" t="s">
        <v>17</v>
      </c>
      <c r="C1001">
        <v>5054746</v>
      </c>
      <c r="D1001">
        <v>4211</v>
      </c>
    </row>
    <row r="1002" spans="1:4" x14ac:dyDescent="0.25">
      <c r="A1002" t="str">
        <f>T("   340111")</f>
        <v xml:space="preserve">   340111</v>
      </c>
      <c r="B1002" t="s">
        <v>33</v>
      </c>
      <c r="C1002">
        <v>17906119</v>
      </c>
      <c r="D1002">
        <v>18393</v>
      </c>
    </row>
    <row r="1003" spans="1:4" x14ac:dyDescent="0.25">
      <c r="A1003" t="str">
        <f>T("   490199")</f>
        <v xml:space="preserve">   490199</v>
      </c>
      <c r="B100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03">
        <v>500000</v>
      </c>
      <c r="D1003">
        <v>760</v>
      </c>
    </row>
    <row r="1004" spans="1:4" x14ac:dyDescent="0.25">
      <c r="A1004" t="str">
        <f>T("   620590")</f>
        <v xml:space="preserve">   620590</v>
      </c>
      <c r="B100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04">
        <v>1300000</v>
      </c>
      <c r="D1004">
        <v>1800</v>
      </c>
    </row>
    <row r="1005" spans="1:4" x14ac:dyDescent="0.25">
      <c r="A1005" t="str">
        <f>T("   630900")</f>
        <v xml:space="preserve">   630900</v>
      </c>
      <c r="B1005" t="s">
        <v>57</v>
      </c>
      <c r="C1005">
        <v>5215000</v>
      </c>
      <c r="D1005">
        <v>7450</v>
      </c>
    </row>
    <row r="1006" spans="1:4" x14ac:dyDescent="0.25">
      <c r="A1006" t="str">
        <f>T("   732394")</f>
        <v xml:space="preserve">   732394</v>
      </c>
      <c r="B1006" t="s">
        <v>73</v>
      </c>
      <c r="C1006">
        <v>1400000</v>
      </c>
      <c r="D1006">
        <v>1650</v>
      </c>
    </row>
    <row r="1007" spans="1:4" x14ac:dyDescent="0.25">
      <c r="A1007" t="str">
        <f>T("   840721")</f>
        <v xml:space="preserve">   840721</v>
      </c>
      <c r="B1007" t="s">
        <v>78</v>
      </c>
      <c r="C1007">
        <v>2700000</v>
      </c>
      <c r="D1007">
        <v>400</v>
      </c>
    </row>
    <row r="1008" spans="1:4" x14ac:dyDescent="0.25">
      <c r="A1008" t="str">
        <f>T("   870322")</f>
        <v xml:space="preserve">   870322</v>
      </c>
      <c r="B1008" t="s">
        <v>95</v>
      </c>
      <c r="C1008">
        <v>4229779</v>
      </c>
      <c r="D1008">
        <v>1500</v>
      </c>
    </row>
    <row r="1009" spans="1:4" x14ac:dyDescent="0.25">
      <c r="A1009" t="str">
        <f>T("   870323")</f>
        <v xml:space="preserve">   870323</v>
      </c>
      <c r="B1009" t="s">
        <v>96</v>
      </c>
      <c r="C1009">
        <v>1200000</v>
      </c>
      <c r="D1009">
        <v>1430</v>
      </c>
    </row>
    <row r="1010" spans="1:4" x14ac:dyDescent="0.25">
      <c r="A1010" t="str">
        <f>T("   940350")</f>
        <v xml:space="preserve">   940350</v>
      </c>
      <c r="B1010" t="str">
        <f>T("   Meubles pour chambres à coucher, en bois (sauf sièges)")</f>
        <v xml:space="preserve">   Meubles pour chambres à coucher, en bois (sauf sièges)</v>
      </c>
      <c r="C1010">
        <v>1600000</v>
      </c>
      <c r="D1010">
        <v>1800</v>
      </c>
    </row>
    <row r="1011" spans="1:4" x14ac:dyDescent="0.25">
      <c r="A1011" t="str">
        <f>T("   940360")</f>
        <v xml:space="preserve">   940360</v>
      </c>
      <c r="B1011" t="str">
        <f>T("   Meubles en bois (autres que pour bureaux, cuisines ou chambres à coucher et autres que sièges)")</f>
        <v xml:space="preserve">   Meubles en bois (autres que pour bureaux, cuisines ou chambres à coucher et autres que sièges)</v>
      </c>
      <c r="C1011">
        <v>9933065</v>
      </c>
      <c r="D1011">
        <v>5581</v>
      </c>
    </row>
    <row r="1012" spans="1:4" x14ac:dyDescent="0.25">
      <c r="A1012" t="str">
        <f>T("VN")</f>
        <v>VN</v>
      </c>
      <c r="B1012" t="str">
        <f>T("Vietnam")</f>
        <v>Vietnam</v>
      </c>
    </row>
    <row r="1013" spans="1:4" x14ac:dyDescent="0.25">
      <c r="A1013" t="str">
        <f>T("   ZZ_Total_Produit_SH6")</f>
        <v xml:space="preserve">   ZZ_Total_Produit_SH6</v>
      </c>
      <c r="B1013" t="str">
        <f>T("   ZZ_Total_Produit_SH6")</f>
        <v xml:space="preserve">   ZZ_Total_Produit_SH6</v>
      </c>
      <c r="C1013">
        <v>5106449080</v>
      </c>
      <c r="D1013">
        <v>8734707</v>
      </c>
    </row>
    <row r="1014" spans="1:4" x14ac:dyDescent="0.25">
      <c r="A1014" t="str">
        <f>T("   080131")</f>
        <v xml:space="preserve">   080131</v>
      </c>
      <c r="B1014" t="str">
        <f>T("   Noix de cajou, fraîches ou sèches, en coques")</f>
        <v xml:space="preserve">   Noix de cajou, fraîches ou sèches, en coques</v>
      </c>
      <c r="C1014">
        <v>258583374</v>
      </c>
      <c r="D1014">
        <v>823165</v>
      </c>
    </row>
    <row r="1015" spans="1:4" x14ac:dyDescent="0.25">
      <c r="A1015" t="str">
        <f>T("   392321")</f>
        <v xml:space="preserve">   392321</v>
      </c>
      <c r="B1015" t="str">
        <f>T("   Sacs, sachets, pochettes et cornets, en polymères de l'éthylène")</f>
        <v xml:space="preserve">   Sacs, sachets, pochettes et cornets, en polymères de l'éthylène</v>
      </c>
      <c r="C1015">
        <v>11574511</v>
      </c>
      <c r="D1015">
        <v>8933</v>
      </c>
    </row>
    <row r="1016" spans="1:4" x14ac:dyDescent="0.25">
      <c r="A1016" t="str">
        <f>T("   520100")</f>
        <v xml:space="preserve">   520100</v>
      </c>
      <c r="B1016" t="str">
        <f>T("   COTON, NON-CARDÉ NI PEIGNÉ")</f>
        <v xml:space="preserve">   COTON, NON-CARDÉ NI PEIGNÉ</v>
      </c>
      <c r="C1016">
        <v>4751744893</v>
      </c>
      <c r="D1016">
        <v>6620884</v>
      </c>
    </row>
    <row r="1017" spans="1:4" x14ac:dyDescent="0.25">
      <c r="A1017" t="str">
        <f>T("   720429")</f>
        <v xml:space="preserve">   720429</v>
      </c>
      <c r="B1017" t="str">
        <f>T("   DÉCHETS ET DÉBRIS D'ACIERS ALLIÉS [FERRAILLES] (SAUF ACIERS INOXYDABLES, DÉCHETS RADIOACTIFS ET DÉCHETS ET DÉBRIS DE PILES, DE BATTERIES DE PILES ET D'ACCUMULATEURS ÉLECTRIQUES)")</f>
        <v xml:space="preserve">   DÉCHETS ET DÉBRIS D'ACIERS ALLIÉS [FERRAILLES] (SAUF ACIERS INOXYDABLES, DÉCHETS RADIOACTIFS ET DÉCHETS ET DÉBRIS DE PILES, DE BATTERIES DE PILES ET D'ACCUMULATEURS ÉLECTRIQUES)</v>
      </c>
      <c r="C1017">
        <v>57000000</v>
      </c>
      <c r="D1017">
        <v>1140000</v>
      </c>
    </row>
    <row r="1018" spans="1:4" x14ac:dyDescent="0.25">
      <c r="A1018" t="str">
        <f>T("   720430")</f>
        <v xml:space="preserve">   720430</v>
      </c>
      <c r="B1018" t="str">
        <f>T("   DÉCHETS ET DÉBRIS DE FER OU D'ACIER ÉTAMÉS [FERRAILLES] (AUTRES QUE RADIOACTIFS ET DÉCHETS ET DÉBRIS DE PILES, DE BATTERIES DE PILES ET D'ACCUMULATEURS ÉLECTRIQUES)")</f>
        <v xml:space="preserve">   DÉCHETS ET DÉBRIS DE FER OU D'ACIER ÉTAMÉS [FERRAILLES] (AUTRES QUE RADIOACTIFS ET DÉCHETS ET DÉBRIS DE PILES, DE BATTERIES DE PILES ET D'ACCUMULATEURS ÉLECTRIQUES)</v>
      </c>
      <c r="C1018">
        <v>5000000</v>
      </c>
      <c r="D1018">
        <v>100000</v>
      </c>
    </row>
    <row r="1019" spans="1:4" x14ac:dyDescent="0.25">
      <c r="A1019" t="str">
        <f>T("   721730")</f>
        <v xml:space="preserve">   721730</v>
      </c>
      <c r="B1019"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1019">
        <v>1118295</v>
      </c>
      <c r="D1019">
        <v>2422</v>
      </c>
    </row>
    <row r="1020" spans="1:4" x14ac:dyDescent="0.25">
      <c r="A1020" t="str">
        <f>T("   721790")</f>
        <v xml:space="preserve">   721790</v>
      </c>
      <c r="B1020"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1020">
        <v>11476831</v>
      </c>
      <c r="D1020">
        <v>24920</v>
      </c>
    </row>
    <row r="1021" spans="1:4" x14ac:dyDescent="0.25">
      <c r="A1021" t="str">
        <f>T("   732620")</f>
        <v xml:space="preserve">   732620</v>
      </c>
      <c r="B1021" t="str">
        <f>T("   Ouvrages en fil de fer ou d'acier, n.d.a.")</f>
        <v xml:space="preserve">   Ouvrages en fil de fer ou d'acier, n.d.a.</v>
      </c>
      <c r="C1021">
        <v>9102326</v>
      </c>
      <c r="D1021">
        <v>13032</v>
      </c>
    </row>
    <row r="1022" spans="1:4" x14ac:dyDescent="0.25">
      <c r="A1022" t="str">
        <f>T("   732690")</f>
        <v xml:space="preserve">   732690</v>
      </c>
      <c r="B102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022">
        <v>848850</v>
      </c>
      <c r="D1022">
        <v>1351</v>
      </c>
    </row>
    <row r="1023" spans="1:4" x14ac:dyDescent="0.25">
      <c r="A1023" t="str">
        <f>T("ZA")</f>
        <v>ZA</v>
      </c>
      <c r="B1023" t="str">
        <f>T("Afrique du Sud")</f>
        <v>Afrique du Sud</v>
      </c>
    </row>
    <row r="1024" spans="1:4" x14ac:dyDescent="0.25">
      <c r="A1024" t="str">
        <f>T("   ZZ_Total_Produit_SH6")</f>
        <v xml:space="preserve">   ZZ_Total_Produit_SH6</v>
      </c>
      <c r="B1024" t="str">
        <f>T("   ZZ_Total_Produit_SH6")</f>
        <v xml:space="preserve">   ZZ_Total_Produit_SH6</v>
      </c>
      <c r="C1024">
        <v>853692160</v>
      </c>
      <c r="D1024">
        <v>11566685</v>
      </c>
    </row>
    <row r="1025" spans="1:4" x14ac:dyDescent="0.25">
      <c r="A1025" t="str">
        <f>T("   230610")</f>
        <v xml:space="preserve">   230610</v>
      </c>
      <c r="B1025"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1025">
        <v>828382586</v>
      </c>
      <c r="D1025">
        <v>11481935</v>
      </c>
    </row>
    <row r="1026" spans="1:4" x14ac:dyDescent="0.25">
      <c r="A1026" t="str">
        <f>T("   620590")</f>
        <v xml:space="preserve">   620590</v>
      </c>
      <c r="B102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26">
        <v>800000</v>
      </c>
      <c r="D1026">
        <v>550</v>
      </c>
    </row>
    <row r="1027" spans="1:4" x14ac:dyDescent="0.25">
      <c r="A1027" t="str">
        <f>T("   732394")</f>
        <v xml:space="preserve">   732394</v>
      </c>
      <c r="B1027" t="s">
        <v>73</v>
      </c>
      <c r="C1027">
        <v>700000</v>
      </c>
      <c r="D1027">
        <v>450</v>
      </c>
    </row>
    <row r="1028" spans="1:4" x14ac:dyDescent="0.25">
      <c r="A1028" t="str">
        <f>T("   851829")</f>
        <v xml:space="preserve">   851829</v>
      </c>
      <c r="B1028" t="str">
        <f>T("   Haut-parleurs sans enceinte")</f>
        <v xml:space="preserve">   Haut-parleurs sans enceinte</v>
      </c>
      <c r="C1028">
        <v>4348285</v>
      </c>
      <c r="D1028">
        <v>26000</v>
      </c>
    </row>
    <row r="1029" spans="1:4" x14ac:dyDescent="0.25">
      <c r="A1029" t="str">
        <f>T("   851850")</f>
        <v xml:space="preserve">   851850</v>
      </c>
      <c r="B1029" t="str">
        <f>T("   Appareils électriques d'amplification du son")</f>
        <v xml:space="preserve">   Appareils électriques d'amplification du son</v>
      </c>
      <c r="C1029">
        <v>5000000</v>
      </c>
      <c r="D1029">
        <v>20000</v>
      </c>
    </row>
    <row r="1030" spans="1:4" x14ac:dyDescent="0.25">
      <c r="A1030" t="str">
        <f>T("   851999")</f>
        <v xml:space="preserve">   851999</v>
      </c>
      <c r="B1030"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1030">
        <v>5000000</v>
      </c>
      <c r="D1030">
        <v>20000</v>
      </c>
    </row>
    <row r="1031" spans="1:4" x14ac:dyDescent="0.25">
      <c r="A1031" t="str">
        <f>T("   870323")</f>
        <v xml:space="preserve">   870323</v>
      </c>
      <c r="B1031" t="s">
        <v>96</v>
      </c>
      <c r="C1031">
        <v>5113004</v>
      </c>
      <c r="D1031">
        <v>3750</v>
      </c>
    </row>
    <row r="1032" spans="1:4" x14ac:dyDescent="0.25">
      <c r="A1032" t="str">
        <f>T("   940540")</f>
        <v xml:space="preserve">   940540</v>
      </c>
      <c r="B1032" t="str">
        <f>T("   Appareils d'éclairage électrique, n.d.a.")</f>
        <v xml:space="preserve">   Appareils d'éclairage électrique, n.d.a.</v>
      </c>
      <c r="C1032">
        <v>4348285</v>
      </c>
      <c r="D1032">
        <v>14000</v>
      </c>
    </row>
    <row r="1033" spans="1:4" s="1" customFormat="1" x14ac:dyDescent="0.25">
      <c r="A1033" s="1" t="str">
        <f>T("   ZZ_Total_Produit_SH6")</f>
        <v xml:space="preserve">   ZZ_Total_Produit_SH6</v>
      </c>
      <c r="B1033" s="1" t="str">
        <f>T("   ZZ_Total_Produit_SH6")</f>
        <v xml:space="preserve">   ZZ_Total_Produit_SH6</v>
      </c>
      <c r="C1033" s="1">
        <v>224300672277</v>
      </c>
      <c r="D1033" s="1">
        <v>1013613271.26</v>
      </c>
    </row>
    <row r="1035" spans="1:4" x14ac:dyDescent="0.25">
      <c r="A1035" t="s">
        <v>108</v>
      </c>
    </row>
    <row r="1036" spans="1:4" x14ac:dyDescent="0.25">
      <c r="A1036" t="s">
        <v>109</v>
      </c>
    </row>
    <row r="1037" spans="1:4" x14ac:dyDescent="0.25">
      <c r="A1037" t="s">
        <v>110</v>
      </c>
    </row>
  </sheetData>
  <pageMargins left="0.7" right="0.7" top="0.75" bottom="0.75" header="0.3" footer="0.3"/>
</worksheet>
</file>